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20" windowHeight="11385" activeTab="0"/>
  </bookViews>
  <sheets>
    <sheet name="Sheet1" sheetId="1" r:id="rId1"/>
    <sheet name="DV-IDENTITY-0" sheetId="2" state="veryHidden" r:id="rId2"/>
  </sheets>
  <definedNames/>
  <calcPr fullCalcOnLoad="1"/>
</workbook>
</file>

<file path=xl/sharedStrings.xml><?xml version="1.0" encoding="utf-8"?>
<sst xmlns="http://schemas.openxmlformats.org/spreadsheetml/2006/main" count="869" uniqueCount="415">
  <si>
    <t>Local Organising Committee</t>
  </si>
  <si>
    <t>Jorge Matos (Chairman)</t>
  </si>
  <si>
    <t>Alexandra Serra (President, APRH)</t>
  </si>
  <si>
    <t>Rodrigo Oliveira (Vice-President, APRH)</t>
  </si>
  <si>
    <t>Francisco Taveira Pinto (President, APRH North Branch)</t>
  </si>
  <si>
    <t>Elsa Carvalho</t>
  </si>
  <si>
    <t>Inês Meireles</t>
  </si>
  <si>
    <t>João Pedro Pêgo</t>
  </si>
  <si>
    <t>José Dias da Silva</t>
  </si>
  <si>
    <t>Pedro Manso</t>
  </si>
  <si>
    <t>Pedro Pinto</t>
  </si>
  <si>
    <t>Rodrigo Maia</t>
  </si>
  <si>
    <t>IAHR Hydraulic Structures Committee – Leadership Team</t>
  </si>
  <si>
    <t>Stefano Pagliara (Chairman)</t>
  </si>
  <si>
    <t>Robert Janssen (Vice-Chairman)</t>
  </si>
  <si>
    <t>Blake Tullis</t>
  </si>
  <si>
    <t>Daniel Bung</t>
  </si>
  <si>
    <t>Hubert Chanson </t>
  </si>
  <si>
    <t>Jorge Matos</t>
  </si>
  <si>
    <t>Michael Pfister</t>
  </si>
  <si>
    <t>International Scientific Committee </t>
  </si>
  <si>
    <t>Nº</t>
  </si>
  <si>
    <t>Email</t>
  </si>
  <si>
    <t>Affiliation</t>
  </si>
  <si>
    <t>Country</t>
  </si>
  <si>
    <t>Portugal</t>
  </si>
  <si>
    <t>AAAAAFlsp68=</t>
  </si>
  <si>
    <t>Yes</t>
  </si>
  <si>
    <t>Eugene Retsinis</t>
  </si>
  <si>
    <t>JD RESEARCH HYDROLAB</t>
  </si>
  <si>
    <t>Greece</t>
  </si>
  <si>
    <t>No</t>
  </si>
  <si>
    <t>Zakaria Camara</t>
  </si>
  <si>
    <t>WATERTECH</t>
  </si>
  <si>
    <t>Mali</t>
  </si>
  <si>
    <t>Salia Camara</t>
  </si>
  <si>
    <t>Mamadou Samba</t>
  </si>
  <si>
    <t>MSD TRANSIT</t>
  </si>
  <si>
    <t>Guinea</t>
  </si>
  <si>
    <t>Daroueche Athoumani</t>
  </si>
  <si>
    <t>Comoros</t>
  </si>
  <si>
    <t>dathoumani@yahoo.fr</t>
  </si>
  <si>
    <t>Mohamed Youssouf</t>
  </si>
  <si>
    <t>Abdillah Mihiloir</t>
  </si>
  <si>
    <t>Nourdine Ibrahima</t>
  </si>
  <si>
    <t>Democratic Republic of the Congo</t>
  </si>
  <si>
    <t>Raul Antonio Lopardo</t>
  </si>
  <si>
    <t>Argentina</t>
  </si>
  <si>
    <t>rlopardo@ciudad.com.ar</t>
  </si>
  <si>
    <t>IST</t>
  </si>
  <si>
    <t>jm@civil.ist.utl.pt</t>
  </si>
  <si>
    <t>Utah State University</t>
  </si>
  <si>
    <t>USA</t>
  </si>
  <si>
    <t>blake.tullis@usu.edu</t>
  </si>
  <si>
    <t>Sebastien Erpicum</t>
  </si>
  <si>
    <t>University of Liege - HECE</t>
  </si>
  <si>
    <t>Belgium</t>
  </si>
  <si>
    <t>S.Erpicum@ulg.ac.be</t>
  </si>
  <si>
    <t>Jamiu Tunde Balogun</t>
  </si>
  <si>
    <t>JOMTECH BUILDING CONSTRUCTION COMPANY</t>
  </si>
  <si>
    <t>Nigeria</t>
  </si>
  <si>
    <t>jomtechbuildingc@yahoo.co</t>
  </si>
  <si>
    <t>Halimot Mohammed</t>
  </si>
  <si>
    <t>Jomtech Building Construction Company</t>
  </si>
  <si>
    <t>Owolabi Akingbade</t>
  </si>
  <si>
    <t>Lynda Ndidi Azuka</t>
  </si>
  <si>
    <t>Kelly Igbenovia</t>
  </si>
  <si>
    <t>Helmut Knoblauch</t>
  </si>
  <si>
    <t>Graz University of Technology</t>
  </si>
  <si>
    <t>Austria</t>
  </si>
  <si>
    <t>helmut.knoblauch@tugraz.a</t>
  </si>
  <si>
    <t>Youichi Yasuda</t>
  </si>
  <si>
    <t>Nihon University College of Science and Technology</t>
  </si>
  <si>
    <t>Japan</t>
  </si>
  <si>
    <t>yasyok@nifty.com</t>
  </si>
  <si>
    <t>Mariana de Souza e Silva</t>
  </si>
  <si>
    <t>GRENOBLE INP</t>
  </si>
  <si>
    <t>France</t>
  </si>
  <si>
    <t>marianasouza.rj@gmail.com</t>
  </si>
  <si>
    <t>George Christodoulou</t>
  </si>
  <si>
    <t>National Technical University of Athens</t>
  </si>
  <si>
    <t>christod@hydro.ntua.gr</t>
  </si>
  <si>
    <t>EPFL ENAC IIC LCH</t>
  </si>
  <si>
    <t>Switzerland</t>
  </si>
  <si>
    <t>michael.pfister@epfl.ch</t>
  </si>
  <si>
    <t>Florimond De Smedt</t>
  </si>
  <si>
    <t>Free University Brussels</t>
  </si>
  <si>
    <t>fdesmedt@vub.ac.be</t>
  </si>
  <si>
    <t>Daniel B. Bung</t>
  </si>
  <si>
    <t>FH Aachen University of Applied Sciences</t>
  </si>
  <si>
    <t>Germany</t>
  </si>
  <si>
    <t>bung@fh-aachen.de</t>
  </si>
  <si>
    <t>Rene Autrique</t>
  </si>
  <si>
    <t>Paileria de San Luis Potosi</t>
  </si>
  <si>
    <t>Mexico</t>
  </si>
  <si>
    <t>rautrique@prodigy.net.mx</t>
  </si>
  <si>
    <t>Orlando Borges</t>
  </si>
  <si>
    <t>INAG</t>
  </si>
  <si>
    <t>orlandob@inag.pt</t>
  </si>
  <si>
    <t>Rocha Afonso</t>
  </si>
  <si>
    <t>Vahid Seraj</t>
  </si>
  <si>
    <t>Azad University</t>
  </si>
  <si>
    <t>Iran</t>
  </si>
  <si>
    <t>vahidseraj@gmail.com</t>
  </si>
  <si>
    <t>Olivier Machiels</t>
  </si>
  <si>
    <t>University of Liège</t>
  </si>
  <si>
    <t>omachiels@ulg.ac.be</t>
  </si>
  <si>
    <t>María Bermúdez</t>
  </si>
  <si>
    <t>University of A Coruña</t>
  </si>
  <si>
    <t>Spain</t>
  </si>
  <si>
    <t>mbermudez@udc.es</t>
  </si>
  <si>
    <t>Francis França</t>
  </si>
  <si>
    <t>USP - Universidade De São Paulo</t>
  </si>
  <si>
    <t>Brazil</t>
  </si>
  <si>
    <t>francispepe@gmail.com</t>
  </si>
  <si>
    <t>Eric Lesleighter</t>
  </si>
  <si>
    <t>Lesleighter Consulting</t>
  </si>
  <si>
    <t>Australia</t>
  </si>
  <si>
    <t>ejlwater@bigpond.net.au</t>
  </si>
  <si>
    <t>Marcone Gomazako</t>
  </si>
  <si>
    <t>IFSP</t>
  </si>
  <si>
    <t>gomazako@hotmail.com</t>
  </si>
  <si>
    <t>Rui Aleixo</t>
  </si>
  <si>
    <t>Université Catholique de Louvain</t>
  </si>
  <si>
    <t>rui.aleixo@uclouvain.be</t>
  </si>
  <si>
    <t>Rozielle Souza Pegado</t>
  </si>
  <si>
    <t>FH-Köln</t>
  </si>
  <si>
    <t>rspegado@yahoo.com.br</t>
  </si>
  <si>
    <t>Alessandro Pagano</t>
  </si>
  <si>
    <t>Italy</t>
  </si>
  <si>
    <t>a.pagano@poliba.it</t>
  </si>
  <si>
    <t>Umberto Fratino</t>
  </si>
  <si>
    <t>Bari Politechnic</t>
  </si>
  <si>
    <t>u.fratino@poliba.it</t>
  </si>
  <si>
    <t>Mamadou Alpha Diallo</t>
  </si>
  <si>
    <t>MARIE D' Point E</t>
  </si>
  <si>
    <t>Senegal</t>
  </si>
  <si>
    <t>mariedpointe@care2.com</t>
  </si>
  <si>
    <t>Malick Thiam</t>
  </si>
  <si>
    <t>John Munda Marcathy</t>
  </si>
  <si>
    <t>MASIANDAY  PEACE  FOUNDATION</t>
  </si>
  <si>
    <t>Gambia, The</t>
  </si>
  <si>
    <t>infomafrica@gmail.com</t>
  </si>
  <si>
    <t>Mohammad Heydari</t>
  </si>
  <si>
    <t>UNIVERSITY MALAYA</t>
  </si>
  <si>
    <t>Malaysia</t>
  </si>
  <si>
    <t>M3HEYDARIII@YAHOO.COM</t>
  </si>
  <si>
    <t>Marcos Gomes</t>
  </si>
  <si>
    <t>FEUP</t>
  </si>
  <si>
    <t>ec06189@fe.up.pt</t>
  </si>
  <si>
    <t>Peter Rutschmann</t>
  </si>
  <si>
    <t>Technische Universität München</t>
  </si>
  <si>
    <t>rutschmann@tum.de</t>
  </si>
  <si>
    <t>Ricardo Teixeira</t>
  </si>
  <si>
    <t>ec06133@fe.up.pt</t>
  </si>
  <si>
    <t>Maria de Lurdes Resende</t>
  </si>
  <si>
    <t>ARH do Norte</t>
  </si>
  <si>
    <t>lurdes.resende@arhnorte.p</t>
  </si>
  <si>
    <t>Tiago Ramos</t>
  </si>
  <si>
    <t>Ideoprojecto</t>
  </si>
  <si>
    <t>tiago.ff.ramos@gmail.com</t>
  </si>
  <si>
    <t>Rui Leal Pedroso de Lima</t>
  </si>
  <si>
    <t>Universidade de Coimbra</t>
  </si>
  <si>
    <t>rui.plima@gmail.com</t>
  </si>
  <si>
    <t>Navid Maroofi Fathpour</t>
  </si>
  <si>
    <t>Abbaspour University of Technology</t>
  </si>
  <si>
    <t>attari@pwut.ac.ir</t>
  </si>
  <si>
    <t>Victor Flórez Casillas</t>
  </si>
  <si>
    <t>FCC CONSTRUCCIÓN, S.A.</t>
  </si>
  <si>
    <t>yfernandez@fcc.es</t>
  </si>
  <si>
    <t>Alexandra Serra</t>
  </si>
  <si>
    <t>ADP - Águas de Portugal</t>
  </si>
  <si>
    <t>a.serra@adp.pt</t>
  </si>
  <si>
    <t>Rodrigo Oliveira</t>
  </si>
  <si>
    <t>Francisco Taveira Pinto</t>
  </si>
  <si>
    <t>Universidade do Porto</t>
  </si>
  <si>
    <t>fpinto@fe.up.pt</t>
  </si>
  <si>
    <t>elsac@fe.up.pt</t>
  </si>
  <si>
    <t>imeireles@civil.ua.pt</t>
  </si>
  <si>
    <t>jppego@fe.up.pt</t>
  </si>
  <si>
    <t>pedromanso@hotmail.com</t>
  </si>
  <si>
    <t>EDP</t>
  </si>
  <si>
    <t>pedro.pinto@edp.pt</t>
  </si>
  <si>
    <t>rmaia@fe.up.pt</t>
  </si>
  <si>
    <t>João Correia</t>
  </si>
  <si>
    <t>Mário J. Franca</t>
  </si>
  <si>
    <t>Department of Civil Engineering and IMAR - CMA Faculty of Sciences and Technology – New University of Lisbon</t>
  </si>
  <si>
    <t>mfranca@fct.unl.pt</t>
  </si>
  <si>
    <t>Morteza Monshizadeh</t>
  </si>
  <si>
    <t>Amirkabir University of Technology</t>
  </si>
  <si>
    <t>monshizadeh@aut.ac.ir</t>
  </si>
  <si>
    <t>Helena I. S. Nogueira</t>
  </si>
  <si>
    <t>Department of Civil Engineering &amp; IMAR-CMA, University of Coimbra</t>
  </si>
  <si>
    <t>hnogueira@dec.uc.pt</t>
  </si>
  <si>
    <t>Tânia Rocha</t>
  </si>
  <si>
    <t>ec09306@fe.up.pt</t>
  </si>
  <si>
    <t>Kayvan Nasiri</t>
  </si>
  <si>
    <t>K. N. Toosi University of Technology</t>
  </si>
  <si>
    <t>kayvan_6@hotmail.com</t>
  </si>
  <si>
    <t>M. R. Kavianpour</t>
  </si>
  <si>
    <t>Siavash Haghighi</t>
  </si>
  <si>
    <t>s_haghighi1985@yahoo.com</t>
  </si>
  <si>
    <t>João Pedro Macedo</t>
  </si>
  <si>
    <t>ec05102@fe.up.pt</t>
  </si>
  <si>
    <t>Floriana Maria Renna</t>
  </si>
  <si>
    <t>ATB Riva Calzoni</t>
  </si>
  <si>
    <t>florianarenna@hotmail.com</t>
  </si>
  <si>
    <t>Andrea Guerini</t>
  </si>
  <si>
    <t>Christopher George</t>
  </si>
  <si>
    <t>IAHR</t>
  </si>
  <si>
    <t>Stefano Pagliara</t>
  </si>
  <si>
    <t>HSC</t>
  </si>
  <si>
    <t>Hubert Chanson</t>
  </si>
  <si>
    <t>Arturo Marcano</t>
  </si>
  <si>
    <t>ISC</t>
  </si>
  <si>
    <t>Venezuela</t>
  </si>
  <si>
    <t>José Alfeu Sá Marques</t>
  </si>
  <si>
    <t>José Falcão de Melo</t>
  </si>
  <si>
    <t>Rejane Cessaro Oliveski</t>
  </si>
  <si>
    <t>Rita Carvalho</t>
  </si>
  <si>
    <t>ritalmfc@dec.uc.pt</t>
  </si>
  <si>
    <t>Teresa Viseu</t>
  </si>
  <si>
    <t>Dave Campbell</t>
  </si>
  <si>
    <t>Fabian Bombardelli</t>
  </si>
  <si>
    <t>Laurent David</t>
  </si>
  <si>
    <t>Rui Martins</t>
  </si>
  <si>
    <t>A. Pinto de Magalhães</t>
  </si>
  <si>
    <t>Lúcia Couto</t>
  </si>
  <si>
    <t>A. Rebelo da Silva</t>
  </si>
  <si>
    <t>Pedro Serra</t>
  </si>
  <si>
    <t>Carlos Matias Ramos</t>
  </si>
  <si>
    <t>LNEC</t>
  </si>
  <si>
    <t>Soledad Estrella</t>
  </si>
  <si>
    <t>UPC</t>
  </si>
  <si>
    <t>Ecuador</t>
  </si>
  <si>
    <t>soledad.estrella@upc.edu</t>
  </si>
  <si>
    <t>Josep Dolz</t>
  </si>
  <si>
    <t>j.dolz@upc.edu</t>
  </si>
  <si>
    <t>Quiang Sun</t>
  </si>
  <si>
    <t>Leibniz University Hannover</t>
  </si>
  <si>
    <t>sunqiang_jonson@yahoo.com</t>
  </si>
  <si>
    <t>Ana Margarida Ricardo</t>
  </si>
  <si>
    <t>ana.ricardo@ist.utl.pt</t>
  </si>
  <si>
    <t>Milad Danesvari</t>
  </si>
  <si>
    <t>LCH-EPFL</t>
  </si>
  <si>
    <t>milad.daneshvari@epfl.ch</t>
  </si>
  <si>
    <t>Greg Paxson</t>
  </si>
  <si>
    <t>Schnabel Engineering</t>
  </si>
  <si>
    <t>gpaxson@schnabel-eng.com</t>
  </si>
  <si>
    <t>André Vale</t>
  </si>
  <si>
    <t>Instituto Superior Técnico</t>
  </si>
  <si>
    <t>andremhvale@gmail.com</t>
  </si>
  <si>
    <t>Mohamed Khairy Elkamash</t>
  </si>
  <si>
    <t>Ain Shams University</t>
  </si>
  <si>
    <t>United Arab Emirates</t>
  </si>
  <si>
    <t>elkamash@ualberta.net</t>
  </si>
  <si>
    <t>Guilhermina Barreto</t>
  </si>
  <si>
    <t>gbarreto@stucky.ch</t>
  </si>
  <si>
    <t>Mário Pimentel</t>
  </si>
  <si>
    <t>mpimentel@stucky.ch</t>
  </si>
  <si>
    <t>Andreia Moreira</t>
  </si>
  <si>
    <t>ec07217@fe.up.pt</t>
  </si>
  <si>
    <t>Vítor Manuel Marques Ribeiro</t>
  </si>
  <si>
    <t>EDP GEST.PROD.ENERGIA</t>
  </si>
  <si>
    <t>vitor.ribeiro@edp.pt</t>
  </si>
  <si>
    <t>Manuel Augusto Sousa Oliveira</t>
  </si>
  <si>
    <t>felicidade.costa@edp.pt</t>
  </si>
  <si>
    <t>Adriano Filipe Monteiro Oliveira</t>
  </si>
  <si>
    <t>adriano.oliveira@edp.pt</t>
  </si>
  <si>
    <t>Toibibou Foutoum</t>
  </si>
  <si>
    <t>Ministere De L,Industrie Environement Des Union Des  Comores</t>
  </si>
  <si>
    <t>Mariama Ali</t>
  </si>
  <si>
    <t>Miguel Ángel Toledo</t>
  </si>
  <si>
    <t>Universidad Politécnica de Madrid</t>
  </si>
  <si>
    <t>toledoloud@gmail.com</t>
  </si>
  <si>
    <t>Ana Sousa</t>
  </si>
  <si>
    <t>WS ATKINS PORTUGAL, LDA.</t>
  </si>
  <si>
    <t>mbraganca@wsatkins.pt</t>
  </si>
  <si>
    <t>David López Gómez</t>
  </si>
  <si>
    <t>CEDEX</t>
  </si>
  <si>
    <t>david.lopez@cedex.es</t>
  </si>
  <si>
    <t>Pedro Lázaro</t>
  </si>
  <si>
    <t>Afaplan - Planeamento e Gestão de Projectos</t>
  </si>
  <si>
    <t>pedroperedo@hotmail.com</t>
  </si>
  <si>
    <t>Joana Pião</t>
  </si>
  <si>
    <t>DEC-FCTUC</t>
  </si>
  <si>
    <t>joanat.piao@gmail.com</t>
  </si>
  <si>
    <t>Xuefei Mei</t>
  </si>
  <si>
    <t>Netherlands</t>
  </si>
  <si>
    <t>X.Mei@tudelft.nl</t>
  </si>
  <si>
    <t>António Pereira da Silva</t>
  </si>
  <si>
    <t>COBA, CONSULTORES DE ENGENHARIA E AMBIENTE</t>
  </si>
  <si>
    <t>coba@coba.pt</t>
  </si>
  <si>
    <t>Júlio Arsénio</t>
  </si>
  <si>
    <t>Luis Balairón Pérez</t>
  </si>
  <si>
    <t>Laboratorio de Hidráulica - Centro de Estudios Hidrográficos - CEDEX</t>
  </si>
  <si>
    <t>luis.balairon@cedex.es</t>
  </si>
  <si>
    <t>Pedro Alves Silva</t>
  </si>
  <si>
    <t>SABESP/UNINOVA</t>
  </si>
  <si>
    <t>lestepas@ual.com.br</t>
  </si>
  <si>
    <t>Hugo Costa</t>
  </si>
  <si>
    <t xml:space="preserve"> </t>
  </si>
  <si>
    <t>hugodmcosta@gmail.com</t>
  </si>
  <si>
    <t>Soraia Silva</t>
  </si>
  <si>
    <t>Lourenço Mendes</t>
  </si>
  <si>
    <t>lmendes@lnec.pt</t>
  </si>
  <si>
    <t>Pedro Miguel Lopes</t>
  </si>
  <si>
    <t>pedromiglopes@gmail.com</t>
  </si>
  <si>
    <t>Juan B. Marco Segura</t>
  </si>
  <si>
    <t>Universidad Politecnica de Valencia</t>
  </si>
  <si>
    <t>jbmarco@hma.upv.es</t>
  </si>
  <si>
    <t>Rui Malheiro</t>
  </si>
  <si>
    <t>rui.malheiro@fe.up.pt</t>
  </si>
  <si>
    <t>João Afonso</t>
  </si>
  <si>
    <t>CENOR</t>
  </si>
  <si>
    <t>Mário Samora</t>
  </si>
  <si>
    <r>
      <t>4th IAHR - International Symposium on Hydraulic Structures</t>
    </r>
    <r>
      <rPr>
        <b/>
        <sz val="12"/>
        <color indexed="18"/>
        <rFont val="Calibri"/>
        <family val="2"/>
      </rPr>
      <t xml:space="preserve"> (February, 9-11, 2012)</t>
    </r>
  </si>
  <si>
    <t>AAAAAH8usgA=</t>
  </si>
  <si>
    <t>JoseDias.Silva@edp.pt</t>
  </si>
  <si>
    <t>Arturo Marcano (Vice-Chairman)</t>
  </si>
  <si>
    <t>Anton Schleiss</t>
  </si>
  <si>
    <t>António Betâmio de Almeida</t>
  </si>
  <si>
    <t>António Carmona Rodrigues</t>
  </si>
  <si>
    <t>António Pinheiro</t>
  </si>
  <si>
    <t>Cristóbal Mateos</t>
  </si>
  <si>
    <t>Fabián Bombardelli</t>
  </si>
  <si>
    <t>Greece </t>
  </si>
  <si>
    <t>Australia </t>
  </si>
  <si>
    <t>Jalal Attari</t>
  </si>
  <si>
    <t>Jerónimo Puertas</t>
  </si>
  <si>
    <t>John Gulliver</t>
  </si>
  <si>
    <t>José Rocha Afonso</t>
  </si>
  <si>
    <t>Jun Guo</t>
  </si>
  <si>
    <t>China</t>
  </si>
  <si>
    <t>Marcelo Marques</t>
  </si>
  <si>
    <t>Martí Sánchez Juny</t>
  </si>
  <si>
    <t>Philip Burgi</t>
  </si>
  <si>
    <t>Rafael Murillo</t>
  </si>
  <si>
    <t>Costa Rica</t>
  </si>
  <si>
    <t>Raúl Lopardo</t>
  </si>
  <si>
    <t>Robert Boes</t>
  </si>
  <si>
    <t>Robert Ettema</t>
  </si>
  <si>
    <t>Robert Janssen</t>
  </si>
  <si>
    <t>Sebastian Erpicum</t>
  </si>
  <si>
    <t>Warren Frizell</t>
  </si>
  <si>
    <t>Willi Hager</t>
  </si>
  <si>
    <t>tviseu@lnec.pt</t>
  </si>
  <si>
    <t>rpo@civil.ist.utl.pt</t>
  </si>
  <si>
    <t>Stucky Atlântico</t>
  </si>
  <si>
    <t>University of Queensland</t>
  </si>
  <si>
    <t>Bechtel</t>
  </si>
  <si>
    <t>Universit of Pisa</t>
  </si>
  <si>
    <t>pmanso@stucky.ch</t>
  </si>
  <si>
    <t>s.pagliara@ing.unipi.it</t>
  </si>
  <si>
    <t>rjanssen@bechtel.com</t>
  </si>
  <si>
    <t>h.chanson@uq.edu.au</t>
  </si>
  <si>
    <t>arturomarcan@gmail.com</t>
  </si>
  <si>
    <t>Consultant</t>
  </si>
  <si>
    <t>Consultant - CVG EDELCA</t>
  </si>
  <si>
    <t>Registrations</t>
  </si>
  <si>
    <t>Attendance</t>
  </si>
  <si>
    <t>anton.schleiss@epfl.ch</t>
  </si>
  <si>
    <t>aba@civil.ist.utl.pt</t>
  </si>
  <si>
    <t>acr@fct.unl.pt</t>
  </si>
  <si>
    <t>apinheiro@civil.ist.utl.pt</t>
  </si>
  <si>
    <t>vereniko@gmail.com</t>
  </si>
  <si>
    <t>jasm@dec.uc.pt</t>
  </si>
  <si>
    <t>FCTUC</t>
  </si>
  <si>
    <t>jfmelo64@gmail.com</t>
  </si>
  <si>
    <t>guojun@iwhr.com</t>
  </si>
  <si>
    <t>mmarques@iph.ufrgs.br</t>
  </si>
  <si>
    <t>marti.sanchez@upc.edu</t>
  </si>
  <si>
    <t>philipburgi@aol.com</t>
  </si>
  <si>
    <t>RAFAEL.MURILLO@ucr.ac.cr</t>
  </si>
  <si>
    <t>boes@vaw.baug.ethz.ch</t>
  </si>
  <si>
    <t>kfrizell@usbr.gov</t>
  </si>
  <si>
    <t>hager@vaw.baug.ethz.ch</t>
  </si>
  <si>
    <t>jpuertas@udc.es</t>
  </si>
  <si>
    <t>gulli003@umn.edu</t>
  </si>
  <si>
    <t>FCTUNL</t>
  </si>
  <si>
    <t>IPH-UFRGS</t>
  </si>
  <si>
    <t>ETH-VAW</t>
  </si>
  <si>
    <t>rettema@uwyo.edu</t>
  </si>
  <si>
    <t>joao.afonso@cenor.pt</t>
  </si>
  <si>
    <t>mario.samora@cenor.pt</t>
  </si>
  <si>
    <t>Registrations and Delegates Contact / Info</t>
  </si>
  <si>
    <t>University of Minnesota</t>
  </si>
  <si>
    <t>University of Coruña</t>
  </si>
  <si>
    <t xml:space="preserve">University of Costa Rica </t>
  </si>
  <si>
    <t>University of Wyoming</t>
  </si>
  <si>
    <t>Bureau of Reclamation</t>
  </si>
  <si>
    <t>DAVEC@schnabel-eng.com</t>
  </si>
  <si>
    <t>fabombardelli@ucdavis.edu</t>
  </si>
  <si>
    <t>christopher.george@iahr.org</t>
  </si>
  <si>
    <t>decesaroo@gmail.com</t>
  </si>
  <si>
    <t>Laurent.David@univ-poitiers.fr</t>
  </si>
  <si>
    <t>albertomagalhaes@clix.pt</t>
  </si>
  <si>
    <t>rebelosilva@hpn.pt</t>
  </si>
  <si>
    <t>pedrocunhaserra@gmail.com</t>
  </si>
  <si>
    <t>Institution of Engineers</t>
  </si>
  <si>
    <t>UC Davis</t>
  </si>
  <si>
    <t>Instituto Nacional del Agua</t>
  </si>
  <si>
    <t>rlopardo@ina.gov.ar</t>
  </si>
  <si>
    <t>Abbaspour University of Technology (PWUT)</t>
  </si>
  <si>
    <t>kavianpour@kntu.ac.ir</t>
  </si>
  <si>
    <t>K.N. Toosi University of Technology</t>
  </si>
  <si>
    <t>UNISINOS</t>
  </si>
  <si>
    <t>University of Aveiro</t>
  </si>
  <si>
    <t>China Institute of Water Resources and Hydropower Research - IWHR</t>
  </si>
  <si>
    <t>Technical University of Bari</t>
  </si>
  <si>
    <t>InfoStuckyAtlantico@stucky.ch</t>
  </si>
  <si>
    <t>Institut P', CNRS- Université de Poitiers - ENSMA</t>
  </si>
  <si>
    <t>HP Norte</t>
  </si>
  <si>
    <t>TU Delft</t>
  </si>
  <si>
    <t>Direction nationale de l,industrie ,energie union des comores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</si>
</sst>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63"/>
      <name val="Verdana"/>
      <family val="2"/>
    </font>
    <font>
      <b/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u val="single"/>
      <sz val="8"/>
      <name val="Verdana"/>
      <family val="2"/>
    </font>
    <font>
      <b/>
      <sz val="16"/>
      <color indexed="18"/>
      <name val="Calibri"/>
      <family val="2"/>
    </font>
    <font>
      <b/>
      <sz val="10"/>
      <color indexed="18"/>
      <name val="Calibri"/>
      <family val="2"/>
    </font>
    <font>
      <b/>
      <sz val="12"/>
      <color indexed="1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Verdana"/>
      <family val="2"/>
    </font>
    <font>
      <b/>
      <sz val="8"/>
      <color rgb="FF464646"/>
      <name val="Verdana"/>
      <family val="2"/>
    </font>
    <font>
      <sz val="8"/>
      <color rgb="FF464646"/>
      <name val="Verdana"/>
      <family val="2"/>
    </font>
    <font>
      <b/>
      <sz val="16"/>
      <color theme="3" tint="-0.24997000396251678"/>
      <name val="Calibri"/>
      <family val="2"/>
    </font>
    <font>
      <b/>
      <sz val="10"/>
      <color theme="3" tint="-0.24997000396251678"/>
      <name val="Calibri"/>
      <family val="2"/>
    </font>
    <font>
      <sz val="8"/>
      <color theme="1"/>
      <name val="Verdana"/>
      <family val="2"/>
    </font>
    <font>
      <b/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45" fillId="6" borderId="0" xfId="0" applyFont="1" applyFill="1" applyAlignment="1">
      <alignment vertical="top"/>
    </xf>
    <xf numFmtId="0" fontId="43" fillId="6" borderId="0" xfId="0" applyFont="1" applyFill="1" applyAlignment="1">
      <alignment/>
    </xf>
    <xf numFmtId="0" fontId="46" fillId="6" borderId="0" xfId="0" applyFont="1" applyFill="1" applyAlignment="1">
      <alignment vertical="top" wrapText="1"/>
    </xf>
    <xf numFmtId="0" fontId="7" fillId="33" borderId="0" xfId="0" applyNumberFormat="1" applyFont="1" applyFill="1" applyBorder="1" applyAlignment="1">
      <alignment horizontal="left" vertical="top"/>
    </xf>
    <xf numFmtId="0" fontId="7" fillId="33" borderId="0" xfId="0" applyNumberFormat="1" applyFont="1" applyFill="1" applyBorder="1" applyAlignment="1">
      <alignment horizontal="left" vertical="top" wrapText="1"/>
    </xf>
    <xf numFmtId="0" fontId="7" fillId="33" borderId="0" xfId="0" applyNumberFormat="1" applyFont="1" applyFill="1" applyBorder="1" applyAlignment="1">
      <alignment horizontal="center" vertical="top"/>
    </xf>
    <xf numFmtId="0" fontId="8" fillId="33" borderId="0" xfId="0" applyNumberFormat="1" applyFont="1" applyFill="1" applyBorder="1" applyAlignment="1">
      <alignment horizontal="left" vertical="top"/>
    </xf>
    <xf numFmtId="0" fontId="7" fillId="33" borderId="0" xfId="0" applyNumberFormat="1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 horizontal="left" wrapText="1"/>
    </xf>
    <xf numFmtId="0" fontId="7" fillId="33" borderId="0" xfId="0" applyNumberFormat="1" applyFont="1" applyFill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3" fillId="6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0" fontId="37" fillId="0" borderId="0" xfId="52" applyAlignment="1" applyProtection="1">
      <alignment/>
      <protection/>
    </xf>
    <xf numFmtId="0" fontId="7" fillId="34" borderId="0" xfId="0" applyNumberFormat="1" applyFont="1" applyFill="1" applyBorder="1" applyAlignment="1">
      <alignment horizontal="left" vertical="top"/>
    </xf>
    <xf numFmtId="0" fontId="7" fillId="34" borderId="0" xfId="0" applyNumberFormat="1" applyFont="1" applyFill="1" applyBorder="1" applyAlignment="1">
      <alignment horizontal="left" vertical="top" wrapText="1"/>
    </xf>
    <xf numFmtId="0" fontId="7" fillId="34" borderId="0" xfId="0" applyNumberFormat="1" applyFont="1" applyFill="1" applyBorder="1" applyAlignment="1">
      <alignment horizontal="left" wrapText="1"/>
    </xf>
    <xf numFmtId="0" fontId="7" fillId="34" borderId="0" xfId="0" applyNumberFormat="1" applyFont="1" applyFill="1" applyBorder="1" applyAlignment="1">
      <alignment horizontal="center" vertical="top"/>
    </xf>
    <xf numFmtId="0" fontId="7" fillId="34" borderId="0" xfId="0" applyNumberFormat="1" applyFont="1" applyFill="1" applyBorder="1" applyAlignment="1">
      <alignment wrapText="1"/>
    </xf>
    <xf numFmtId="0" fontId="45" fillId="6" borderId="0" xfId="0" applyFont="1" applyFill="1" applyAlignment="1">
      <alignment horizontal="center" vertical="top"/>
    </xf>
    <xf numFmtId="0" fontId="43" fillId="6" borderId="0" xfId="0" applyFont="1" applyFill="1" applyAlignment="1">
      <alignment vertical="top"/>
    </xf>
    <xf numFmtId="0" fontId="50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left" vertical="top"/>
    </xf>
    <xf numFmtId="0" fontId="50" fillId="0" borderId="0" xfId="0" applyFont="1" applyBorder="1" applyAlignment="1">
      <alignment vertical="top"/>
    </xf>
    <xf numFmtId="0" fontId="50" fillId="0" borderId="0" xfId="0" applyFont="1" applyBorder="1" applyAlignment="1">
      <alignment vertical="top" wrapText="1"/>
    </xf>
    <xf numFmtId="0" fontId="7" fillId="33" borderId="0" xfId="52" applyNumberFormat="1" applyFont="1" applyFill="1" applyBorder="1" applyAlignment="1" applyProtection="1">
      <alignment horizontal="left" vertical="top"/>
      <protection/>
    </xf>
    <xf numFmtId="0" fontId="7" fillId="0" borderId="0" xfId="52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51" fillId="0" borderId="0" xfId="0" applyFont="1" applyAlignment="1">
      <alignment horizontal="left"/>
    </xf>
    <xf numFmtId="0" fontId="7" fillId="0" borderId="0" xfId="0" applyNumberFormat="1" applyFont="1" applyFill="1" applyBorder="1" applyAlignment="1">
      <alignment horizontal="left" vertical="top"/>
    </xf>
    <xf numFmtId="0" fontId="7" fillId="34" borderId="0" xfId="0" applyNumberFormat="1" applyFont="1" applyFill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lake.tullis@usu.edu" TargetMode="External" /><Relationship Id="rId2" Type="http://schemas.openxmlformats.org/officeDocument/2006/relationships/hyperlink" Target="mailto:bung@fh-aachen.de" TargetMode="External" /><Relationship Id="rId3" Type="http://schemas.openxmlformats.org/officeDocument/2006/relationships/hyperlink" Target="mailto:christod@hydro.ntua.gr" TargetMode="External" /><Relationship Id="rId4" Type="http://schemas.openxmlformats.org/officeDocument/2006/relationships/hyperlink" Target="mailto:j.dolz@upc.edu" TargetMode="External" /><Relationship Id="rId5" Type="http://schemas.openxmlformats.org/officeDocument/2006/relationships/hyperlink" Target="mailto:pedromanso@hotmail.com" TargetMode="External" /><Relationship Id="rId6" Type="http://schemas.openxmlformats.org/officeDocument/2006/relationships/hyperlink" Target="mailto:rutschmann@tum.de" TargetMode="External" /><Relationship Id="rId7" Type="http://schemas.openxmlformats.org/officeDocument/2006/relationships/hyperlink" Target="mailto:rmaia@fe.up.pt" TargetMode="External" /><Relationship Id="rId8" Type="http://schemas.openxmlformats.org/officeDocument/2006/relationships/hyperlink" Target="mailto:tviseu@lnec.pt" TargetMode="External" /><Relationship Id="rId9" Type="http://schemas.openxmlformats.org/officeDocument/2006/relationships/printerSettings" Target="../printerSettings/printerSettings1.bin" /><Relationship Id="rId10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9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52.421875" style="1" customWidth="1"/>
    <col min="3" max="3" width="24.8515625" style="0" customWidth="1"/>
    <col min="4" max="4" width="23.7109375" style="0" customWidth="1"/>
    <col min="5" max="5" width="15.140625" style="0" customWidth="1"/>
    <col min="6" max="6" width="19.7109375" style="0" customWidth="1"/>
  </cols>
  <sheetData>
    <row r="1" ht="21">
      <c r="A1" s="14" t="s">
        <v>316</v>
      </c>
    </row>
    <row r="2" ht="18.75" customHeight="1">
      <c r="A2" s="15" t="s">
        <v>385</v>
      </c>
    </row>
    <row r="4" spans="1:5" ht="15">
      <c r="A4" s="16" t="s">
        <v>21</v>
      </c>
      <c r="B4" s="4" t="s">
        <v>0</v>
      </c>
      <c r="C4" s="3" t="s">
        <v>22</v>
      </c>
      <c r="D4" s="3" t="s">
        <v>23</v>
      </c>
      <c r="E4" s="3" t="s">
        <v>24</v>
      </c>
    </row>
    <row r="5" spans="1:5" ht="15">
      <c r="A5" s="26">
        <v>10</v>
      </c>
      <c r="B5" s="13" t="s">
        <v>1</v>
      </c>
      <c r="C5" s="27" t="s">
        <v>50</v>
      </c>
      <c r="D5" s="27" t="s">
        <v>49</v>
      </c>
      <c r="E5" s="27" t="s">
        <v>25</v>
      </c>
    </row>
    <row r="6" spans="1:5" ht="15">
      <c r="A6" s="26">
        <v>51</v>
      </c>
      <c r="B6" s="13" t="s">
        <v>2</v>
      </c>
      <c r="C6" s="27" t="s">
        <v>172</v>
      </c>
      <c r="D6" s="27" t="s">
        <v>171</v>
      </c>
      <c r="E6" s="27" t="s">
        <v>25</v>
      </c>
    </row>
    <row r="7" spans="1:5" ht="15">
      <c r="A7" s="26">
        <v>52</v>
      </c>
      <c r="B7" s="13" t="s">
        <v>3</v>
      </c>
      <c r="C7" s="27" t="s">
        <v>347</v>
      </c>
      <c r="D7" s="27" t="s">
        <v>49</v>
      </c>
      <c r="E7" s="27" t="s">
        <v>25</v>
      </c>
    </row>
    <row r="8" spans="1:5" ht="15">
      <c r="A8" s="26">
        <v>53</v>
      </c>
      <c r="B8" s="13" t="s">
        <v>4</v>
      </c>
      <c r="C8" s="27" t="s">
        <v>176</v>
      </c>
      <c r="D8" s="27" t="s">
        <v>148</v>
      </c>
      <c r="E8" s="27" t="s">
        <v>25</v>
      </c>
    </row>
    <row r="9" spans="1:5" ht="15">
      <c r="A9" s="26">
        <v>54</v>
      </c>
      <c r="B9" s="13" t="s">
        <v>5</v>
      </c>
      <c r="C9" s="27" t="s">
        <v>177</v>
      </c>
      <c r="D9" s="27" t="s">
        <v>148</v>
      </c>
      <c r="E9" s="27" t="s">
        <v>25</v>
      </c>
    </row>
    <row r="10" spans="1:5" ht="15">
      <c r="A10" s="26">
        <v>55</v>
      </c>
      <c r="B10" s="13" t="s">
        <v>6</v>
      </c>
      <c r="C10" s="27" t="s">
        <v>178</v>
      </c>
      <c r="D10" s="27" t="s">
        <v>407</v>
      </c>
      <c r="E10" s="27" t="s">
        <v>25</v>
      </c>
    </row>
    <row r="11" spans="1:5" ht="15">
      <c r="A11" s="26">
        <v>56</v>
      </c>
      <c r="B11" s="13" t="s">
        <v>7</v>
      </c>
      <c r="C11" s="27" t="s">
        <v>179</v>
      </c>
      <c r="D11" s="27" t="s">
        <v>148</v>
      </c>
      <c r="E11" s="27" t="s">
        <v>25</v>
      </c>
    </row>
    <row r="12" spans="1:5" ht="15">
      <c r="A12" s="26">
        <v>57</v>
      </c>
      <c r="B12" s="13" t="s">
        <v>8</v>
      </c>
      <c r="C12" s="27" t="s">
        <v>318</v>
      </c>
      <c r="D12" s="27" t="s">
        <v>181</v>
      </c>
      <c r="E12" s="27" t="s">
        <v>25</v>
      </c>
    </row>
    <row r="13" spans="1:6" ht="15">
      <c r="A13" s="26">
        <v>58</v>
      </c>
      <c r="B13" s="13" t="s">
        <v>9</v>
      </c>
      <c r="C13" s="27" t="s">
        <v>352</v>
      </c>
      <c r="D13" s="27" t="s">
        <v>348</v>
      </c>
      <c r="E13" s="27" t="s">
        <v>25</v>
      </c>
      <c r="F13" s="36"/>
    </row>
    <row r="14" spans="1:5" ht="15">
      <c r="A14" s="26">
        <v>59</v>
      </c>
      <c r="B14" s="13" t="s">
        <v>10</v>
      </c>
      <c r="C14" s="27" t="s">
        <v>182</v>
      </c>
      <c r="D14" s="27" t="s">
        <v>181</v>
      </c>
      <c r="E14" s="27" t="s">
        <v>25</v>
      </c>
    </row>
    <row r="15" spans="1:5" ht="15">
      <c r="A15" s="26">
        <v>60</v>
      </c>
      <c r="B15" s="13" t="s">
        <v>11</v>
      </c>
      <c r="C15" s="27" t="s">
        <v>183</v>
      </c>
      <c r="D15" s="27" t="s">
        <v>148</v>
      </c>
      <c r="E15" s="27" t="s">
        <v>25</v>
      </c>
    </row>
    <row r="16" ht="15">
      <c r="A16" s="17"/>
    </row>
    <row r="17" spans="1:5" ht="21">
      <c r="A17" s="16" t="s">
        <v>21</v>
      </c>
      <c r="B17" s="4" t="s">
        <v>12</v>
      </c>
      <c r="C17" s="3" t="s">
        <v>22</v>
      </c>
      <c r="D17" s="3" t="s">
        <v>23</v>
      </c>
      <c r="E17" s="3" t="s">
        <v>24</v>
      </c>
    </row>
    <row r="18" spans="1:5" ht="15">
      <c r="A18" s="26">
        <v>73</v>
      </c>
      <c r="B18" s="13" t="s">
        <v>13</v>
      </c>
      <c r="C18" s="27" t="s">
        <v>353</v>
      </c>
      <c r="D18" s="27" t="s">
        <v>351</v>
      </c>
      <c r="E18" s="27" t="s">
        <v>129</v>
      </c>
    </row>
    <row r="19" spans="1:5" ht="15">
      <c r="A19" s="26"/>
      <c r="B19" s="13" t="s">
        <v>14</v>
      </c>
      <c r="C19" s="27" t="s">
        <v>354</v>
      </c>
      <c r="D19" s="27" t="s">
        <v>350</v>
      </c>
      <c r="E19" s="27" t="s">
        <v>117</v>
      </c>
    </row>
    <row r="20" spans="1:5" ht="15">
      <c r="A20" s="26">
        <v>11</v>
      </c>
      <c r="B20" s="13" t="s">
        <v>15</v>
      </c>
      <c r="C20" s="27" t="s">
        <v>53</v>
      </c>
      <c r="D20" s="27" t="s">
        <v>51</v>
      </c>
      <c r="E20" s="27" t="s">
        <v>52</v>
      </c>
    </row>
    <row r="21" spans="1:5" s="1" customFormat="1" ht="21">
      <c r="A21" s="28">
        <v>24</v>
      </c>
      <c r="B21" s="13" t="s">
        <v>16</v>
      </c>
      <c r="C21" s="29" t="s">
        <v>91</v>
      </c>
      <c r="D21" s="30" t="s">
        <v>89</v>
      </c>
      <c r="E21" s="29" t="s">
        <v>90</v>
      </c>
    </row>
    <row r="22" spans="1:5" ht="15">
      <c r="A22" s="26">
        <v>74</v>
      </c>
      <c r="B22" s="13" t="s">
        <v>17</v>
      </c>
      <c r="C22" s="27" t="s">
        <v>355</v>
      </c>
      <c r="D22" s="27" t="s">
        <v>349</v>
      </c>
      <c r="E22" s="27" t="s">
        <v>117</v>
      </c>
    </row>
    <row r="23" spans="1:5" ht="15">
      <c r="A23" s="26">
        <v>10</v>
      </c>
      <c r="B23" s="13" t="s">
        <v>18</v>
      </c>
      <c r="C23" s="27" t="s">
        <v>50</v>
      </c>
      <c r="D23" s="27" t="s">
        <v>49</v>
      </c>
      <c r="E23" s="27" t="s">
        <v>25</v>
      </c>
    </row>
    <row r="24" spans="1:5" ht="15">
      <c r="A24" s="26">
        <v>22</v>
      </c>
      <c r="B24" s="13" t="s">
        <v>19</v>
      </c>
      <c r="C24" s="27" t="s">
        <v>84</v>
      </c>
      <c r="D24" s="11" t="s">
        <v>82</v>
      </c>
      <c r="E24" s="6" t="s">
        <v>83</v>
      </c>
    </row>
    <row r="25" ht="15">
      <c r="A25" s="17"/>
    </row>
    <row r="26" spans="1:5" ht="15">
      <c r="A26" s="16" t="s">
        <v>21</v>
      </c>
      <c r="B26" s="4" t="s">
        <v>20</v>
      </c>
      <c r="C26" s="3" t="s">
        <v>22</v>
      </c>
      <c r="D26" s="3" t="s">
        <v>23</v>
      </c>
      <c r="E26" s="3" t="s">
        <v>24</v>
      </c>
    </row>
    <row r="27" spans="1:5" ht="15">
      <c r="A27" s="33">
        <v>73</v>
      </c>
      <c r="B27" s="34" t="s">
        <v>13</v>
      </c>
      <c r="C27" s="27" t="s">
        <v>353</v>
      </c>
      <c r="D27" s="27" t="s">
        <v>351</v>
      </c>
      <c r="E27" s="35" t="s">
        <v>129</v>
      </c>
    </row>
    <row r="28" spans="1:5" ht="15">
      <c r="A28" s="33">
        <v>75</v>
      </c>
      <c r="B28" s="34" t="s">
        <v>319</v>
      </c>
      <c r="C28" s="35" t="s">
        <v>356</v>
      </c>
      <c r="D28" s="35" t="s">
        <v>358</v>
      </c>
      <c r="E28" s="35" t="s">
        <v>215</v>
      </c>
    </row>
    <row r="29" spans="1:5" ht="15">
      <c r="A29" s="33"/>
      <c r="B29" s="34" t="s">
        <v>320</v>
      </c>
      <c r="C29" s="35" t="s">
        <v>361</v>
      </c>
      <c r="D29" s="11" t="s">
        <v>82</v>
      </c>
      <c r="E29" s="35" t="s">
        <v>83</v>
      </c>
    </row>
    <row r="30" spans="1:5" ht="15">
      <c r="A30" s="33"/>
      <c r="B30" s="34" t="s">
        <v>321</v>
      </c>
      <c r="C30" s="35" t="s">
        <v>362</v>
      </c>
      <c r="D30" s="35" t="s">
        <v>49</v>
      </c>
      <c r="E30" s="35" t="s">
        <v>25</v>
      </c>
    </row>
    <row r="31" spans="1:5" ht="15">
      <c r="A31" s="33"/>
      <c r="B31" s="34" t="s">
        <v>322</v>
      </c>
      <c r="C31" s="35" t="s">
        <v>363</v>
      </c>
      <c r="D31" s="35" t="s">
        <v>379</v>
      </c>
      <c r="E31" s="35" t="s">
        <v>25</v>
      </c>
    </row>
    <row r="32" spans="1:5" ht="15">
      <c r="A32" s="33"/>
      <c r="B32" s="34" t="s">
        <v>323</v>
      </c>
      <c r="C32" s="35" t="s">
        <v>364</v>
      </c>
      <c r="D32" s="35" t="s">
        <v>49</v>
      </c>
      <c r="E32" s="35" t="s">
        <v>25</v>
      </c>
    </row>
    <row r="33" spans="1:5" ht="15">
      <c r="A33" s="33">
        <v>11</v>
      </c>
      <c r="B33" s="34" t="s">
        <v>15</v>
      </c>
      <c r="C33" s="31" t="s">
        <v>53</v>
      </c>
      <c r="D33" s="11" t="s">
        <v>51</v>
      </c>
      <c r="E33" s="35" t="s">
        <v>52</v>
      </c>
    </row>
    <row r="34" spans="1:5" ht="15">
      <c r="A34" s="33"/>
      <c r="B34" s="34" t="s">
        <v>324</v>
      </c>
      <c r="C34" s="35" t="s">
        <v>365</v>
      </c>
      <c r="D34" s="35" t="s">
        <v>209</v>
      </c>
      <c r="E34" s="35" t="s">
        <v>109</v>
      </c>
    </row>
    <row r="35" spans="1:5" ht="22.5">
      <c r="A35" s="33">
        <v>24</v>
      </c>
      <c r="B35" s="34" t="s">
        <v>16</v>
      </c>
      <c r="C35" s="31" t="s">
        <v>91</v>
      </c>
      <c r="D35" s="11" t="s">
        <v>89</v>
      </c>
      <c r="E35" s="35" t="s">
        <v>90</v>
      </c>
    </row>
    <row r="36" spans="1:5" ht="15">
      <c r="A36" s="33">
        <v>33</v>
      </c>
      <c r="B36" s="34" t="s">
        <v>115</v>
      </c>
      <c r="C36" s="5" t="s">
        <v>118</v>
      </c>
      <c r="D36" s="11" t="s">
        <v>116</v>
      </c>
      <c r="E36" s="35" t="s">
        <v>117</v>
      </c>
    </row>
    <row r="37" spans="1:5" ht="15">
      <c r="A37" s="33">
        <v>83</v>
      </c>
      <c r="B37" s="34" t="s">
        <v>325</v>
      </c>
      <c r="C37" s="35" t="s">
        <v>392</v>
      </c>
      <c r="D37" s="35" t="s">
        <v>400</v>
      </c>
      <c r="E37" s="35" t="s">
        <v>52</v>
      </c>
    </row>
    <row r="38" spans="1:5" ht="15">
      <c r="A38" s="33">
        <v>21</v>
      </c>
      <c r="B38" s="34" t="s">
        <v>79</v>
      </c>
      <c r="C38" s="32" t="s">
        <v>81</v>
      </c>
      <c r="D38" s="35" t="s">
        <v>80</v>
      </c>
      <c r="E38" s="35" t="s">
        <v>326</v>
      </c>
    </row>
    <row r="39" spans="1:5" ht="22.5">
      <c r="A39" s="33">
        <v>18</v>
      </c>
      <c r="B39" s="34" t="s">
        <v>67</v>
      </c>
      <c r="C39" s="5" t="s">
        <v>70</v>
      </c>
      <c r="D39" s="11" t="s">
        <v>68</v>
      </c>
      <c r="E39" s="35" t="s">
        <v>69</v>
      </c>
    </row>
    <row r="40" spans="1:5" ht="15">
      <c r="A40" s="33">
        <v>74</v>
      </c>
      <c r="B40" s="34" t="s">
        <v>212</v>
      </c>
      <c r="C40" s="27" t="s">
        <v>355</v>
      </c>
      <c r="D40" s="27" t="s">
        <v>349</v>
      </c>
      <c r="E40" s="35" t="s">
        <v>327</v>
      </c>
    </row>
    <row r="41" spans="1:5" ht="15">
      <c r="A41" s="33"/>
      <c r="B41" s="34" t="s">
        <v>328</v>
      </c>
      <c r="C41" s="35" t="s">
        <v>166</v>
      </c>
      <c r="D41" s="35" t="s">
        <v>403</v>
      </c>
      <c r="E41" s="35" t="s">
        <v>102</v>
      </c>
    </row>
    <row r="42" spans="1:5" ht="15">
      <c r="A42" s="33"/>
      <c r="B42" s="34" t="s">
        <v>329</v>
      </c>
      <c r="C42" s="35" t="s">
        <v>377</v>
      </c>
      <c r="D42" s="35" t="s">
        <v>387</v>
      </c>
      <c r="E42" s="35" t="s">
        <v>109</v>
      </c>
    </row>
    <row r="43" spans="1:5" ht="15">
      <c r="A43" s="33"/>
      <c r="B43" s="34" t="s">
        <v>330</v>
      </c>
      <c r="C43" s="35" t="s">
        <v>378</v>
      </c>
      <c r="D43" s="35" t="s">
        <v>386</v>
      </c>
      <c r="E43" s="35" t="s">
        <v>52</v>
      </c>
    </row>
    <row r="44" spans="1:5" ht="15">
      <c r="A44" s="33">
        <v>10</v>
      </c>
      <c r="B44" s="34" t="s">
        <v>18</v>
      </c>
      <c r="C44" s="35" t="s">
        <v>50</v>
      </c>
      <c r="D44" s="35" t="s">
        <v>49</v>
      </c>
      <c r="E44" s="35" t="s">
        <v>25</v>
      </c>
    </row>
    <row r="45" spans="1:5" ht="15">
      <c r="A45" s="33">
        <v>76</v>
      </c>
      <c r="B45" s="34" t="s">
        <v>216</v>
      </c>
      <c r="C45" s="35" t="s">
        <v>366</v>
      </c>
      <c r="D45" s="35" t="s">
        <v>367</v>
      </c>
      <c r="E45" s="35" t="s">
        <v>25</v>
      </c>
    </row>
    <row r="46" spans="1:5" ht="15">
      <c r="A46" s="33">
        <v>77</v>
      </c>
      <c r="B46" s="34" t="s">
        <v>217</v>
      </c>
      <c r="C46" s="35" t="s">
        <v>368</v>
      </c>
      <c r="D46" s="35" t="s">
        <v>231</v>
      </c>
      <c r="E46" s="35" t="s">
        <v>25</v>
      </c>
    </row>
    <row r="47" spans="1:5" ht="15">
      <c r="A47" s="33">
        <v>28</v>
      </c>
      <c r="B47" s="34" t="s">
        <v>331</v>
      </c>
      <c r="C47" s="35" t="s">
        <v>368</v>
      </c>
      <c r="D47" s="35" t="s">
        <v>97</v>
      </c>
      <c r="E47" s="35" t="s">
        <v>25</v>
      </c>
    </row>
    <row r="48" spans="1:5" ht="15">
      <c r="A48" s="33">
        <v>92</v>
      </c>
      <c r="B48" s="34" t="s">
        <v>236</v>
      </c>
      <c r="C48" s="32" t="s">
        <v>237</v>
      </c>
      <c r="D48" s="35" t="s">
        <v>233</v>
      </c>
      <c r="E48" s="35" t="s">
        <v>109</v>
      </c>
    </row>
    <row r="49" spans="1:5" ht="15">
      <c r="A49" s="33"/>
      <c r="B49" s="34" t="s">
        <v>332</v>
      </c>
      <c r="C49" s="35" t="s">
        <v>369</v>
      </c>
      <c r="D49" s="35" t="s">
        <v>408</v>
      </c>
      <c r="E49" s="35" t="s">
        <v>333</v>
      </c>
    </row>
    <row r="50" spans="1:5" ht="15">
      <c r="A50" s="33">
        <v>116</v>
      </c>
      <c r="B50" s="34" t="s">
        <v>294</v>
      </c>
      <c r="C50" s="35" t="s">
        <v>296</v>
      </c>
      <c r="D50" s="35" t="s">
        <v>295</v>
      </c>
      <c r="E50" s="35" t="s">
        <v>109</v>
      </c>
    </row>
    <row r="51" spans="1:5" ht="15">
      <c r="A51" s="33"/>
      <c r="B51" s="34" t="s">
        <v>334</v>
      </c>
      <c r="C51" s="35" t="s">
        <v>370</v>
      </c>
      <c r="D51" s="35" t="s">
        <v>380</v>
      </c>
      <c r="E51" s="35" t="s">
        <v>113</v>
      </c>
    </row>
    <row r="52" spans="1:5" ht="15">
      <c r="A52" s="33"/>
      <c r="B52" s="34" t="s">
        <v>335</v>
      </c>
      <c r="C52" s="35" t="s">
        <v>371</v>
      </c>
      <c r="D52" s="35" t="s">
        <v>233</v>
      </c>
      <c r="E52" s="35" t="s">
        <v>109</v>
      </c>
    </row>
    <row r="53" spans="1:5" ht="15">
      <c r="A53" s="33">
        <v>22</v>
      </c>
      <c r="B53" s="34" t="s">
        <v>19</v>
      </c>
      <c r="C53" s="35" t="s">
        <v>84</v>
      </c>
      <c r="D53" s="11" t="s">
        <v>82</v>
      </c>
      <c r="E53" s="35" t="s">
        <v>83</v>
      </c>
    </row>
    <row r="54" spans="1:5" ht="15">
      <c r="A54" s="33">
        <v>58</v>
      </c>
      <c r="B54" s="34" t="s">
        <v>9</v>
      </c>
      <c r="C54" s="31" t="s">
        <v>180</v>
      </c>
      <c r="D54" s="35" t="s">
        <v>348</v>
      </c>
      <c r="E54" s="35" t="s">
        <v>25</v>
      </c>
    </row>
    <row r="55" spans="1:5" ht="15">
      <c r="A55" s="33">
        <v>44</v>
      </c>
      <c r="B55" s="34" t="s">
        <v>150</v>
      </c>
      <c r="C55" s="32" t="s">
        <v>152</v>
      </c>
      <c r="D55" s="35" t="s">
        <v>151</v>
      </c>
      <c r="E55" s="35" t="s">
        <v>90</v>
      </c>
    </row>
    <row r="56" spans="1:5" ht="15">
      <c r="A56" s="33"/>
      <c r="B56" s="34" t="s">
        <v>336</v>
      </c>
      <c r="C56" s="35" t="s">
        <v>372</v>
      </c>
      <c r="D56" s="35" t="s">
        <v>357</v>
      </c>
      <c r="E56" s="35" t="s">
        <v>52</v>
      </c>
    </row>
    <row r="57" spans="1:5" ht="15">
      <c r="A57" s="33"/>
      <c r="B57" s="34" t="s">
        <v>337</v>
      </c>
      <c r="C57" s="35" t="s">
        <v>373</v>
      </c>
      <c r="D57" s="35" t="s">
        <v>388</v>
      </c>
      <c r="E57" s="35" t="s">
        <v>338</v>
      </c>
    </row>
    <row r="58" spans="1:5" ht="15">
      <c r="A58" s="33">
        <v>9</v>
      </c>
      <c r="B58" s="34" t="s">
        <v>339</v>
      </c>
      <c r="C58" s="35" t="s">
        <v>402</v>
      </c>
      <c r="D58" s="35" t="s">
        <v>401</v>
      </c>
      <c r="E58" s="35" t="s">
        <v>47</v>
      </c>
    </row>
    <row r="59" spans="1:5" ht="15">
      <c r="A59" s="33">
        <v>79</v>
      </c>
      <c r="B59" s="34" t="s">
        <v>219</v>
      </c>
      <c r="C59" s="35" t="s">
        <v>220</v>
      </c>
      <c r="D59" s="35" t="s">
        <v>162</v>
      </c>
      <c r="E59" s="35" t="s">
        <v>25</v>
      </c>
    </row>
    <row r="60" spans="1:5" ht="15">
      <c r="A60" s="33"/>
      <c r="B60" s="34" t="s">
        <v>340</v>
      </c>
      <c r="C60" s="35" t="s">
        <v>374</v>
      </c>
      <c r="D60" s="35" t="s">
        <v>381</v>
      </c>
      <c r="E60" s="35" t="s">
        <v>83</v>
      </c>
    </row>
    <row r="61" spans="1:5" ht="15">
      <c r="A61" s="33"/>
      <c r="B61" s="34" t="s">
        <v>341</v>
      </c>
      <c r="C61" s="35" t="s">
        <v>382</v>
      </c>
      <c r="D61" s="35" t="s">
        <v>389</v>
      </c>
      <c r="E61" s="35" t="s">
        <v>52</v>
      </c>
    </row>
    <row r="62" spans="1:5" ht="15">
      <c r="A62" s="33"/>
      <c r="B62" s="34" t="s">
        <v>342</v>
      </c>
      <c r="C62" s="35" t="s">
        <v>354</v>
      </c>
      <c r="D62" s="27" t="s">
        <v>350</v>
      </c>
      <c r="E62" s="35" t="s">
        <v>117</v>
      </c>
    </row>
    <row r="63" spans="1:5" ht="15">
      <c r="A63" s="33">
        <v>60</v>
      </c>
      <c r="B63" s="34" t="s">
        <v>11</v>
      </c>
      <c r="C63" s="31" t="s">
        <v>183</v>
      </c>
      <c r="D63" s="35" t="s">
        <v>175</v>
      </c>
      <c r="E63" s="35" t="s">
        <v>25</v>
      </c>
    </row>
    <row r="64" spans="1:5" ht="15">
      <c r="A64" s="33">
        <v>12</v>
      </c>
      <c r="B64" s="34" t="s">
        <v>343</v>
      </c>
      <c r="C64" s="5" t="s">
        <v>57</v>
      </c>
      <c r="D64" s="35" t="s">
        <v>55</v>
      </c>
      <c r="E64" s="35" t="s">
        <v>56</v>
      </c>
    </row>
    <row r="65" spans="1:5" ht="15">
      <c r="A65" s="33">
        <v>80</v>
      </c>
      <c r="B65" s="34" t="s">
        <v>221</v>
      </c>
      <c r="C65" s="32" t="s">
        <v>346</v>
      </c>
      <c r="D65" s="35" t="s">
        <v>231</v>
      </c>
      <c r="E65" s="35" t="s">
        <v>25</v>
      </c>
    </row>
    <row r="66" spans="1:5" ht="15">
      <c r="A66" s="33">
        <v>38</v>
      </c>
      <c r="B66" s="34" t="s">
        <v>131</v>
      </c>
      <c r="C66" s="35" t="s">
        <v>133</v>
      </c>
      <c r="D66" s="35" t="s">
        <v>132</v>
      </c>
      <c r="E66" s="35" t="s">
        <v>129</v>
      </c>
    </row>
    <row r="67" spans="1:5" ht="15">
      <c r="A67" s="33"/>
      <c r="B67" s="34" t="s">
        <v>344</v>
      </c>
      <c r="C67" s="35" t="s">
        <v>375</v>
      </c>
      <c r="D67" s="35" t="s">
        <v>390</v>
      </c>
      <c r="E67" s="35" t="s">
        <v>52</v>
      </c>
    </row>
    <row r="68" spans="1:5" ht="15">
      <c r="A68" s="33"/>
      <c r="B68" s="34" t="s">
        <v>345</v>
      </c>
      <c r="C68" s="35" t="s">
        <v>376</v>
      </c>
      <c r="D68" s="35" t="s">
        <v>381</v>
      </c>
      <c r="E68" s="35" t="s">
        <v>83</v>
      </c>
    </row>
    <row r="69" spans="1:5" ht="15">
      <c r="A69" s="33">
        <v>19</v>
      </c>
      <c r="B69" s="34" t="s">
        <v>71</v>
      </c>
      <c r="C69" s="35" t="s">
        <v>74</v>
      </c>
      <c r="D69" s="35" t="s">
        <v>72</v>
      </c>
      <c r="E69" s="35" t="s">
        <v>73</v>
      </c>
    </row>
    <row r="70" ht="15">
      <c r="A70" s="17"/>
    </row>
    <row r="71" spans="1:6" ht="14.25" customHeight="1">
      <c r="A71" s="16" t="s">
        <v>21</v>
      </c>
      <c r="B71" s="2" t="s">
        <v>359</v>
      </c>
      <c r="C71" s="25" t="s">
        <v>22</v>
      </c>
      <c r="D71" s="25" t="s">
        <v>23</v>
      </c>
      <c r="E71" s="25" t="s">
        <v>24</v>
      </c>
      <c r="F71" s="24" t="s">
        <v>360</v>
      </c>
    </row>
    <row r="72" spans="1:6" ht="15">
      <c r="A72" s="5">
        <v>1</v>
      </c>
      <c r="B72" s="5" t="s">
        <v>28</v>
      </c>
      <c r="C72" s="8" t="str">
        <f>HYPERLINK("mailto:retsinis76@hotmail.com","retsinis76@hotmail.com")</f>
        <v>retsinis76@hotmail.com</v>
      </c>
      <c r="D72" s="9" t="s">
        <v>29</v>
      </c>
      <c r="E72" s="5" t="s">
        <v>30</v>
      </c>
      <c r="F72" s="7" t="s">
        <v>31</v>
      </c>
    </row>
    <row r="73" spans="1:6" ht="15">
      <c r="A73" s="5">
        <v>2</v>
      </c>
      <c r="B73" s="6" t="s">
        <v>32</v>
      </c>
      <c r="C73" s="8" t="str">
        <f>HYPERLINK("mailto:camazak@yahoo.fr","camazak@yahoo.fr")</f>
        <v>camazak@yahoo.fr</v>
      </c>
      <c r="D73" s="10" t="s">
        <v>33</v>
      </c>
      <c r="E73" s="6" t="s">
        <v>34</v>
      </c>
      <c r="F73" s="7" t="s">
        <v>31</v>
      </c>
    </row>
    <row r="74" spans="1:6" ht="15">
      <c r="A74" s="5">
        <v>3</v>
      </c>
      <c r="B74" s="6" t="s">
        <v>35</v>
      </c>
      <c r="C74" s="8" t="str">
        <f>HYPERLINK("mailto:infowatertech@yahoo.fr","infowatertech@yahoo.fr")</f>
        <v>infowatertech@yahoo.fr</v>
      </c>
      <c r="D74" s="9" t="s">
        <v>33</v>
      </c>
      <c r="E74" s="5" t="s">
        <v>34</v>
      </c>
      <c r="F74" s="7" t="s">
        <v>31</v>
      </c>
    </row>
    <row r="75" spans="1:6" ht="15">
      <c r="A75" s="5">
        <v>4</v>
      </c>
      <c r="B75" s="5" t="s">
        <v>36</v>
      </c>
      <c r="C75" s="8" t="str">
        <f>HYPERLINK("mailto:etsbah@yahoo.fr","etsbah@yahoo.fr")</f>
        <v>etsbah@yahoo.fr</v>
      </c>
      <c r="D75" s="9" t="s">
        <v>37</v>
      </c>
      <c r="E75" s="5" t="s">
        <v>38</v>
      </c>
      <c r="F75" s="7" t="s">
        <v>31</v>
      </c>
    </row>
    <row r="76" spans="1:6" ht="31.5">
      <c r="A76" s="5">
        <v>5</v>
      </c>
      <c r="B76" s="6" t="s">
        <v>39</v>
      </c>
      <c r="C76" s="5" t="s">
        <v>41</v>
      </c>
      <c r="D76" s="6" t="s">
        <v>414</v>
      </c>
      <c r="E76" s="6" t="s">
        <v>40</v>
      </c>
      <c r="F76" s="7" t="s">
        <v>31</v>
      </c>
    </row>
    <row r="77" spans="1:6" ht="31.5">
      <c r="A77" s="5">
        <v>6</v>
      </c>
      <c r="B77" s="6" t="s">
        <v>42</v>
      </c>
      <c r="C77" s="5" t="s">
        <v>41</v>
      </c>
      <c r="D77" s="6" t="s">
        <v>414</v>
      </c>
      <c r="E77" s="6" t="s">
        <v>40</v>
      </c>
      <c r="F77" s="7" t="s">
        <v>31</v>
      </c>
    </row>
    <row r="78" spans="1:6" ht="31.5">
      <c r="A78" s="5">
        <v>7</v>
      </c>
      <c r="B78" s="6" t="s">
        <v>43</v>
      </c>
      <c r="C78" s="5" t="s">
        <v>41</v>
      </c>
      <c r="D78" s="6" t="s">
        <v>414</v>
      </c>
      <c r="E78" s="6" t="s">
        <v>40</v>
      </c>
      <c r="F78" s="7" t="s">
        <v>31</v>
      </c>
    </row>
    <row r="79" spans="1:6" ht="31.5">
      <c r="A79" s="5">
        <v>8</v>
      </c>
      <c r="B79" s="6" t="s">
        <v>44</v>
      </c>
      <c r="C79" s="5" t="s">
        <v>41</v>
      </c>
      <c r="D79" s="6" t="s">
        <v>414</v>
      </c>
      <c r="E79" s="6" t="s">
        <v>45</v>
      </c>
      <c r="F79" s="7" t="s">
        <v>31</v>
      </c>
    </row>
    <row r="80" spans="1:6" ht="15">
      <c r="A80" s="19">
        <v>9</v>
      </c>
      <c r="B80" s="20" t="s">
        <v>46</v>
      </c>
      <c r="C80" s="19" t="s">
        <v>48</v>
      </c>
      <c r="D80" s="21" t="s">
        <v>401</v>
      </c>
      <c r="E80" s="20" t="s">
        <v>47</v>
      </c>
      <c r="F80" s="22" t="s">
        <v>27</v>
      </c>
    </row>
    <row r="81" spans="1:6" ht="15">
      <c r="A81" s="19">
        <v>10</v>
      </c>
      <c r="B81" s="20" t="s">
        <v>18</v>
      </c>
      <c r="C81" s="19" t="s">
        <v>50</v>
      </c>
      <c r="D81" s="21" t="s">
        <v>49</v>
      </c>
      <c r="E81" s="20" t="s">
        <v>25</v>
      </c>
      <c r="F81" s="22" t="s">
        <v>27</v>
      </c>
    </row>
    <row r="82" spans="1:6" ht="15">
      <c r="A82" s="19">
        <v>11</v>
      </c>
      <c r="B82" s="20" t="s">
        <v>15</v>
      </c>
      <c r="C82" s="19" t="s">
        <v>53</v>
      </c>
      <c r="D82" s="21" t="s">
        <v>51</v>
      </c>
      <c r="E82" s="20" t="s">
        <v>52</v>
      </c>
      <c r="F82" s="22" t="s">
        <v>27</v>
      </c>
    </row>
    <row r="83" spans="1:6" ht="15">
      <c r="A83" s="19">
        <v>12</v>
      </c>
      <c r="B83" s="20" t="s">
        <v>54</v>
      </c>
      <c r="C83" s="19" t="s">
        <v>57</v>
      </c>
      <c r="D83" s="21" t="s">
        <v>55</v>
      </c>
      <c r="E83" s="20" t="s">
        <v>56</v>
      </c>
      <c r="F83" s="22" t="s">
        <v>27</v>
      </c>
    </row>
    <row r="84" spans="1:6" ht="22.5">
      <c r="A84" s="5">
        <v>13</v>
      </c>
      <c r="B84" s="6" t="s">
        <v>58</v>
      </c>
      <c r="C84" s="5" t="s">
        <v>61</v>
      </c>
      <c r="D84" s="11" t="s">
        <v>59</v>
      </c>
      <c r="E84" s="6" t="s">
        <v>60</v>
      </c>
      <c r="F84" s="7" t="s">
        <v>31</v>
      </c>
    </row>
    <row r="85" spans="1:6" ht="22.5">
      <c r="A85" s="5">
        <v>14</v>
      </c>
      <c r="B85" s="6" t="s">
        <v>62</v>
      </c>
      <c r="C85" s="5" t="s">
        <v>61</v>
      </c>
      <c r="D85" s="11" t="s">
        <v>63</v>
      </c>
      <c r="E85" s="6" t="s">
        <v>60</v>
      </c>
      <c r="F85" s="7" t="s">
        <v>31</v>
      </c>
    </row>
    <row r="86" spans="1:6" ht="22.5">
      <c r="A86" s="5">
        <v>15</v>
      </c>
      <c r="B86" s="6" t="s">
        <v>64</v>
      </c>
      <c r="C86" s="5" t="s">
        <v>61</v>
      </c>
      <c r="D86" s="11" t="s">
        <v>59</v>
      </c>
      <c r="E86" s="6" t="s">
        <v>60</v>
      </c>
      <c r="F86" s="7" t="s">
        <v>31</v>
      </c>
    </row>
    <row r="87" spans="1:6" ht="22.5">
      <c r="A87" s="5">
        <v>16</v>
      </c>
      <c r="B87" s="6" t="s">
        <v>65</v>
      </c>
      <c r="C87" s="5" t="s">
        <v>61</v>
      </c>
      <c r="D87" s="11" t="s">
        <v>59</v>
      </c>
      <c r="E87" s="6" t="s">
        <v>60</v>
      </c>
      <c r="F87" s="7" t="s">
        <v>31</v>
      </c>
    </row>
    <row r="88" spans="1:6" ht="22.5">
      <c r="A88" s="5">
        <v>17</v>
      </c>
      <c r="B88" s="6" t="s">
        <v>66</v>
      </c>
      <c r="C88" s="5" t="s">
        <v>61</v>
      </c>
      <c r="D88" s="11" t="s">
        <v>59</v>
      </c>
      <c r="E88" s="6" t="s">
        <v>60</v>
      </c>
      <c r="F88" s="7" t="s">
        <v>31</v>
      </c>
    </row>
    <row r="89" spans="1:6" ht="22.5">
      <c r="A89" s="19">
        <v>18</v>
      </c>
      <c r="B89" s="20" t="s">
        <v>67</v>
      </c>
      <c r="C89" s="19" t="s">
        <v>70</v>
      </c>
      <c r="D89" s="21" t="s">
        <v>68</v>
      </c>
      <c r="E89" s="20" t="s">
        <v>69</v>
      </c>
      <c r="F89" s="22" t="s">
        <v>27</v>
      </c>
    </row>
    <row r="90" spans="1:6" ht="22.5">
      <c r="A90" s="19">
        <v>19</v>
      </c>
      <c r="B90" s="20" t="s">
        <v>71</v>
      </c>
      <c r="C90" s="19" t="s">
        <v>74</v>
      </c>
      <c r="D90" s="21" t="s">
        <v>72</v>
      </c>
      <c r="E90" s="20" t="s">
        <v>73</v>
      </c>
      <c r="F90" s="22" t="s">
        <v>27</v>
      </c>
    </row>
    <row r="91" spans="1:6" ht="15">
      <c r="A91" s="5">
        <v>20</v>
      </c>
      <c r="B91" s="6" t="s">
        <v>75</v>
      </c>
      <c r="C91" s="5" t="s">
        <v>78</v>
      </c>
      <c r="D91" s="11" t="s">
        <v>76</v>
      </c>
      <c r="E91" s="6" t="s">
        <v>77</v>
      </c>
      <c r="F91" s="7" t="s">
        <v>31</v>
      </c>
    </row>
    <row r="92" spans="1:6" ht="22.5">
      <c r="A92" s="19">
        <v>21</v>
      </c>
      <c r="B92" s="20" t="s">
        <v>79</v>
      </c>
      <c r="C92" s="19" t="s">
        <v>81</v>
      </c>
      <c r="D92" s="21" t="s">
        <v>80</v>
      </c>
      <c r="E92" s="20" t="s">
        <v>30</v>
      </c>
      <c r="F92" s="22" t="s">
        <v>27</v>
      </c>
    </row>
    <row r="93" spans="1:6" ht="15">
      <c r="A93" s="5">
        <v>22</v>
      </c>
      <c r="B93" s="6" t="s">
        <v>19</v>
      </c>
      <c r="C93" s="5" t="s">
        <v>84</v>
      </c>
      <c r="D93" s="11" t="s">
        <v>82</v>
      </c>
      <c r="E93" s="6" t="s">
        <v>83</v>
      </c>
      <c r="F93" s="7" t="s">
        <v>27</v>
      </c>
    </row>
    <row r="94" spans="1:6" ht="15">
      <c r="A94" s="19">
        <v>23</v>
      </c>
      <c r="B94" s="20" t="s">
        <v>85</v>
      </c>
      <c r="C94" s="19" t="s">
        <v>87</v>
      </c>
      <c r="D94" s="21" t="s">
        <v>86</v>
      </c>
      <c r="E94" s="20" t="s">
        <v>56</v>
      </c>
      <c r="F94" s="22" t="s">
        <v>27</v>
      </c>
    </row>
    <row r="95" spans="1:6" ht="22.5">
      <c r="A95" s="19">
        <v>24</v>
      </c>
      <c r="B95" s="20" t="s">
        <v>88</v>
      </c>
      <c r="C95" s="19" t="s">
        <v>91</v>
      </c>
      <c r="D95" s="21" t="s">
        <v>89</v>
      </c>
      <c r="E95" s="20" t="s">
        <v>90</v>
      </c>
      <c r="F95" s="22" t="s">
        <v>27</v>
      </c>
    </row>
    <row r="96" spans="1:6" ht="15">
      <c r="A96" s="19">
        <v>25</v>
      </c>
      <c r="B96" s="20" t="s">
        <v>92</v>
      </c>
      <c r="C96" s="19" t="s">
        <v>95</v>
      </c>
      <c r="D96" s="20" t="s">
        <v>93</v>
      </c>
      <c r="E96" s="20" t="s">
        <v>94</v>
      </c>
      <c r="F96" s="22" t="s">
        <v>27</v>
      </c>
    </row>
    <row r="97" spans="1:6" ht="15">
      <c r="A97" s="19">
        <v>27</v>
      </c>
      <c r="B97" s="20" t="s">
        <v>96</v>
      </c>
      <c r="C97" s="19" t="s">
        <v>98</v>
      </c>
      <c r="D97" s="21" t="s">
        <v>97</v>
      </c>
      <c r="E97" s="20" t="s">
        <v>25</v>
      </c>
      <c r="F97" s="22" t="s">
        <v>31</v>
      </c>
    </row>
    <row r="98" spans="1:6" ht="15">
      <c r="A98" s="19">
        <v>28</v>
      </c>
      <c r="B98" s="20" t="s">
        <v>99</v>
      </c>
      <c r="C98" s="19"/>
      <c r="D98" s="21" t="s">
        <v>97</v>
      </c>
      <c r="E98" s="20" t="s">
        <v>25</v>
      </c>
      <c r="F98" s="22" t="s">
        <v>27</v>
      </c>
    </row>
    <row r="99" spans="1:6" ht="15">
      <c r="A99" s="5">
        <v>29</v>
      </c>
      <c r="B99" s="6" t="s">
        <v>100</v>
      </c>
      <c r="C99" s="5" t="s">
        <v>103</v>
      </c>
      <c r="D99" s="11" t="s">
        <v>101</v>
      </c>
      <c r="E99" s="6" t="s">
        <v>102</v>
      </c>
      <c r="F99" s="7" t="s">
        <v>31</v>
      </c>
    </row>
    <row r="100" spans="1:6" ht="15">
      <c r="A100" s="19">
        <v>30</v>
      </c>
      <c r="B100" s="20" t="s">
        <v>104</v>
      </c>
      <c r="C100" s="19" t="s">
        <v>106</v>
      </c>
      <c r="D100" s="21" t="s">
        <v>105</v>
      </c>
      <c r="E100" s="20" t="s">
        <v>56</v>
      </c>
      <c r="F100" s="22" t="s">
        <v>27</v>
      </c>
    </row>
    <row r="101" spans="1:6" ht="15">
      <c r="A101" s="5">
        <v>31</v>
      </c>
      <c r="B101" s="6" t="s">
        <v>107</v>
      </c>
      <c r="C101" s="5" t="s">
        <v>110</v>
      </c>
      <c r="D101" s="11" t="s">
        <v>108</v>
      </c>
      <c r="E101" s="6" t="s">
        <v>109</v>
      </c>
      <c r="F101" s="7" t="s">
        <v>27</v>
      </c>
    </row>
    <row r="102" spans="1:6" ht="22.5">
      <c r="A102" s="19">
        <v>32</v>
      </c>
      <c r="B102" s="20" t="s">
        <v>111</v>
      </c>
      <c r="C102" s="19" t="s">
        <v>114</v>
      </c>
      <c r="D102" s="21" t="s">
        <v>112</v>
      </c>
      <c r="E102" s="20" t="s">
        <v>113</v>
      </c>
      <c r="F102" s="22" t="s">
        <v>27</v>
      </c>
    </row>
    <row r="103" spans="1:6" ht="15">
      <c r="A103" s="19">
        <v>33</v>
      </c>
      <c r="B103" s="20" t="s">
        <v>115</v>
      </c>
      <c r="C103" s="19" t="s">
        <v>118</v>
      </c>
      <c r="D103" s="21" t="s">
        <v>116</v>
      </c>
      <c r="E103" s="20" t="s">
        <v>117</v>
      </c>
      <c r="F103" s="22" t="s">
        <v>27</v>
      </c>
    </row>
    <row r="104" spans="1:6" ht="15">
      <c r="A104" s="19">
        <v>34</v>
      </c>
      <c r="B104" s="20" t="s">
        <v>119</v>
      </c>
      <c r="C104" s="19" t="s">
        <v>121</v>
      </c>
      <c r="D104" s="21" t="s">
        <v>120</v>
      </c>
      <c r="E104" s="20" t="s">
        <v>113</v>
      </c>
      <c r="F104" s="22" t="s">
        <v>27</v>
      </c>
    </row>
    <row r="105" spans="1:6" ht="22.5">
      <c r="A105" s="19">
        <v>35</v>
      </c>
      <c r="B105" s="20" t="s">
        <v>122</v>
      </c>
      <c r="C105" s="19" t="s">
        <v>124</v>
      </c>
      <c r="D105" s="21" t="s">
        <v>123</v>
      </c>
      <c r="E105" s="20" t="s">
        <v>56</v>
      </c>
      <c r="F105" s="22" t="s">
        <v>27</v>
      </c>
    </row>
    <row r="106" spans="1:6" ht="15">
      <c r="A106" s="19">
        <v>36</v>
      </c>
      <c r="B106" s="20" t="s">
        <v>125</v>
      </c>
      <c r="C106" s="19" t="s">
        <v>127</v>
      </c>
      <c r="D106" s="21" t="s">
        <v>126</v>
      </c>
      <c r="E106" s="20" t="s">
        <v>90</v>
      </c>
      <c r="F106" s="22" t="s">
        <v>27</v>
      </c>
    </row>
    <row r="107" spans="1:6" ht="15">
      <c r="A107" s="19">
        <v>37</v>
      </c>
      <c r="B107" s="20" t="s">
        <v>128</v>
      </c>
      <c r="C107" s="19" t="s">
        <v>130</v>
      </c>
      <c r="D107" s="21" t="s">
        <v>409</v>
      </c>
      <c r="E107" s="20" t="s">
        <v>129</v>
      </c>
      <c r="F107" s="22" t="s">
        <v>27</v>
      </c>
    </row>
    <row r="108" spans="1:6" ht="15">
      <c r="A108" s="19">
        <v>38</v>
      </c>
      <c r="B108" s="20" t="s">
        <v>131</v>
      </c>
      <c r="C108" s="19" t="s">
        <v>133</v>
      </c>
      <c r="D108" s="21" t="s">
        <v>409</v>
      </c>
      <c r="E108" s="20" t="s">
        <v>129</v>
      </c>
      <c r="F108" s="22" t="s">
        <v>27</v>
      </c>
    </row>
    <row r="109" spans="1:6" ht="15">
      <c r="A109" s="5">
        <v>39</v>
      </c>
      <c r="B109" s="6" t="s">
        <v>134</v>
      </c>
      <c r="C109" s="5" t="s">
        <v>137</v>
      </c>
      <c r="D109" s="11" t="s">
        <v>135</v>
      </c>
      <c r="E109" s="6" t="s">
        <v>136</v>
      </c>
      <c r="F109" s="7" t="s">
        <v>31</v>
      </c>
    </row>
    <row r="110" spans="1:6" ht="15">
      <c r="A110" s="5">
        <v>40</v>
      </c>
      <c r="B110" s="6" t="s">
        <v>138</v>
      </c>
      <c r="C110" s="5" t="s">
        <v>137</v>
      </c>
      <c r="D110" s="11" t="s">
        <v>135</v>
      </c>
      <c r="E110" s="6" t="s">
        <v>136</v>
      </c>
      <c r="F110" s="7" t="s">
        <v>31</v>
      </c>
    </row>
    <row r="111" spans="1:6" ht="22.5">
      <c r="A111" s="5">
        <v>41</v>
      </c>
      <c r="B111" s="6" t="s">
        <v>139</v>
      </c>
      <c r="C111" s="5" t="s">
        <v>142</v>
      </c>
      <c r="D111" s="11" t="s">
        <v>140</v>
      </c>
      <c r="E111" s="6" t="s">
        <v>141</v>
      </c>
      <c r="F111" s="7" t="s">
        <v>31</v>
      </c>
    </row>
    <row r="112" spans="1:6" ht="15">
      <c r="A112" s="5">
        <v>42</v>
      </c>
      <c r="B112" s="6" t="s">
        <v>143</v>
      </c>
      <c r="C112" s="5" t="s">
        <v>146</v>
      </c>
      <c r="D112" s="11" t="s">
        <v>144</v>
      </c>
      <c r="E112" s="12" t="s">
        <v>145</v>
      </c>
      <c r="F112" s="7" t="s">
        <v>31</v>
      </c>
    </row>
    <row r="113" spans="1:6" ht="15">
      <c r="A113" s="5">
        <v>43</v>
      </c>
      <c r="B113" s="6" t="s">
        <v>147</v>
      </c>
      <c r="C113" s="5" t="s">
        <v>149</v>
      </c>
      <c r="D113" s="11" t="s">
        <v>148</v>
      </c>
      <c r="E113" s="6" t="s">
        <v>25</v>
      </c>
      <c r="F113" s="7" t="s">
        <v>27</v>
      </c>
    </row>
    <row r="114" spans="1:6" ht="22.5">
      <c r="A114" s="19">
        <v>44</v>
      </c>
      <c r="B114" s="20" t="s">
        <v>150</v>
      </c>
      <c r="C114" s="19" t="s">
        <v>152</v>
      </c>
      <c r="D114" s="21" t="s">
        <v>151</v>
      </c>
      <c r="E114" s="20" t="s">
        <v>90</v>
      </c>
      <c r="F114" s="22" t="s">
        <v>27</v>
      </c>
    </row>
    <row r="115" spans="1:6" ht="15">
      <c r="A115" s="19">
        <v>45</v>
      </c>
      <c r="B115" s="20" t="s">
        <v>153</v>
      </c>
      <c r="C115" s="19" t="s">
        <v>154</v>
      </c>
      <c r="D115" s="21" t="s">
        <v>148</v>
      </c>
      <c r="E115" s="20" t="s">
        <v>25</v>
      </c>
      <c r="F115" s="22" t="s">
        <v>27</v>
      </c>
    </row>
    <row r="116" spans="1:6" ht="15">
      <c r="A116" s="19">
        <v>46</v>
      </c>
      <c r="B116" s="20" t="s">
        <v>155</v>
      </c>
      <c r="C116" s="19" t="s">
        <v>157</v>
      </c>
      <c r="D116" s="21" t="s">
        <v>156</v>
      </c>
      <c r="E116" s="20" t="s">
        <v>25</v>
      </c>
      <c r="F116" s="22" t="s">
        <v>27</v>
      </c>
    </row>
    <row r="117" spans="1:6" ht="15">
      <c r="A117" s="19">
        <v>47</v>
      </c>
      <c r="B117" s="20" t="s">
        <v>158</v>
      </c>
      <c r="C117" s="19" t="s">
        <v>160</v>
      </c>
      <c r="D117" s="21" t="s">
        <v>159</v>
      </c>
      <c r="E117" s="20" t="s">
        <v>25</v>
      </c>
      <c r="F117" s="22" t="s">
        <v>27</v>
      </c>
    </row>
    <row r="118" spans="1:6" ht="15">
      <c r="A118" s="19">
        <v>48</v>
      </c>
      <c r="B118" s="20" t="s">
        <v>161</v>
      </c>
      <c r="C118" s="19" t="s">
        <v>163</v>
      </c>
      <c r="D118" s="21" t="s">
        <v>162</v>
      </c>
      <c r="E118" s="20" t="s">
        <v>25</v>
      </c>
      <c r="F118" s="22" t="s">
        <v>27</v>
      </c>
    </row>
    <row r="119" spans="1:6" ht="22.5">
      <c r="A119" s="5">
        <v>49</v>
      </c>
      <c r="B119" s="6" t="s">
        <v>164</v>
      </c>
      <c r="C119" s="5" t="s">
        <v>166</v>
      </c>
      <c r="D119" s="11" t="s">
        <v>165</v>
      </c>
      <c r="E119" s="6" t="s">
        <v>102</v>
      </c>
      <c r="F119" s="7" t="s">
        <v>31</v>
      </c>
    </row>
    <row r="120" spans="1:6" ht="22.5">
      <c r="A120" s="19">
        <v>50</v>
      </c>
      <c r="B120" s="20" t="s">
        <v>167</v>
      </c>
      <c r="C120" s="19" t="s">
        <v>169</v>
      </c>
      <c r="D120" s="21" t="s">
        <v>168</v>
      </c>
      <c r="E120" s="20" t="s">
        <v>109</v>
      </c>
      <c r="F120" s="22" t="s">
        <v>27</v>
      </c>
    </row>
    <row r="121" spans="1:6" ht="15">
      <c r="A121" s="19">
        <v>51</v>
      </c>
      <c r="B121" s="20" t="s">
        <v>170</v>
      </c>
      <c r="C121" s="19" t="s">
        <v>172</v>
      </c>
      <c r="D121" s="21" t="s">
        <v>171</v>
      </c>
      <c r="E121" s="20" t="s">
        <v>25</v>
      </c>
      <c r="F121" s="22" t="s">
        <v>27</v>
      </c>
    </row>
    <row r="122" spans="1:6" ht="15">
      <c r="A122" s="19">
        <v>52</v>
      </c>
      <c r="B122" s="20" t="s">
        <v>173</v>
      </c>
      <c r="C122" s="37" t="s">
        <v>347</v>
      </c>
      <c r="D122" s="21" t="s">
        <v>49</v>
      </c>
      <c r="E122" s="20" t="s">
        <v>25</v>
      </c>
      <c r="F122" s="22" t="s">
        <v>27</v>
      </c>
    </row>
    <row r="123" spans="1:6" ht="15">
      <c r="A123" s="19">
        <v>53</v>
      </c>
      <c r="B123" s="20" t="s">
        <v>174</v>
      </c>
      <c r="C123" s="19" t="s">
        <v>176</v>
      </c>
      <c r="D123" s="21" t="s">
        <v>148</v>
      </c>
      <c r="E123" s="20" t="s">
        <v>25</v>
      </c>
      <c r="F123" s="22" t="s">
        <v>27</v>
      </c>
    </row>
    <row r="124" spans="1:6" ht="15">
      <c r="A124" s="19">
        <v>54</v>
      </c>
      <c r="B124" s="20" t="s">
        <v>5</v>
      </c>
      <c r="C124" s="19" t="s">
        <v>177</v>
      </c>
      <c r="D124" s="21" t="s">
        <v>175</v>
      </c>
      <c r="E124" s="20" t="s">
        <v>25</v>
      </c>
      <c r="F124" s="22" t="s">
        <v>27</v>
      </c>
    </row>
    <row r="125" spans="1:6" ht="15">
      <c r="A125" s="19">
        <v>55</v>
      </c>
      <c r="B125" s="20" t="s">
        <v>6</v>
      </c>
      <c r="C125" s="19" t="s">
        <v>178</v>
      </c>
      <c r="D125" s="21" t="s">
        <v>407</v>
      </c>
      <c r="E125" s="20" t="s">
        <v>25</v>
      </c>
      <c r="F125" s="22" t="s">
        <v>27</v>
      </c>
    </row>
    <row r="126" spans="1:6" ht="15">
      <c r="A126" s="19">
        <v>56</v>
      </c>
      <c r="B126" s="20" t="s">
        <v>7</v>
      </c>
      <c r="C126" s="19" t="s">
        <v>179</v>
      </c>
      <c r="D126" s="21" t="s">
        <v>175</v>
      </c>
      <c r="E126" s="20" t="s">
        <v>25</v>
      </c>
      <c r="F126" s="22" t="s">
        <v>27</v>
      </c>
    </row>
    <row r="127" spans="1:6" ht="15">
      <c r="A127" s="19">
        <v>57</v>
      </c>
      <c r="B127" s="20" t="s">
        <v>8</v>
      </c>
      <c r="C127" s="38" t="str">
        <f>HYPERLINK("mailto:JoseDias.Silva@edp.pt","JoseDias.Silva@edp.pt")</f>
        <v>JoseDias.Silva@edp.pt</v>
      </c>
      <c r="D127" s="21" t="s">
        <v>181</v>
      </c>
      <c r="E127" s="20" t="s">
        <v>25</v>
      </c>
      <c r="F127" s="22" t="s">
        <v>27</v>
      </c>
    </row>
    <row r="128" spans="1:6" ht="15">
      <c r="A128" s="19">
        <v>58</v>
      </c>
      <c r="B128" s="20" t="s">
        <v>9</v>
      </c>
      <c r="C128" s="37" t="s">
        <v>352</v>
      </c>
      <c r="D128" s="35" t="s">
        <v>348</v>
      </c>
      <c r="E128" s="20" t="s">
        <v>25</v>
      </c>
      <c r="F128" s="22" t="s">
        <v>27</v>
      </c>
    </row>
    <row r="129" spans="1:6" ht="15">
      <c r="A129" s="19">
        <v>59</v>
      </c>
      <c r="B129" s="20" t="s">
        <v>10</v>
      </c>
      <c r="C129" s="19" t="s">
        <v>182</v>
      </c>
      <c r="D129" s="21" t="s">
        <v>181</v>
      </c>
      <c r="E129" s="20" t="s">
        <v>25</v>
      </c>
      <c r="F129" s="22" t="s">
        <v>27</v>
      </c>
    </row>
    <row r="130" spans="1:6" ht="15">
      <c r="A130" s="19">
        <v>60</v>
      </c>
      <c r="B130" s="20" t="s">
        <v>11</v>
      </c>
      <c r="C130" s="19" t="s">
        <v>183</v>
      </c>
      <c r="D130" s="21" t="s">
        <v>148</v>
      </c>
      <c r="E130" s="20" t="s">
        <v>25</v>
      </c>
      <c r="F130" s="22" t="s">
        <v>27</v>
      </c>
    </row>
    <row r="131" spans="1:6" ht="15">
      <c r="A131" s="19">
        <v>61</v>
      </c>
      <c r="B131" s="20" t="s">
        <v>184</v>
      </c>
      <c r="C131" s="19" t="s">
        <v>410</v>
      </c>
      <c r="D131" s="21" t="s">
        <v>348</v>
      </c>
      <c r="E131" s="20" t="s">
        <v>25</v>
      </c>
      <c r="F131" s="22" t="s">
        <v>27</v>
      </c>
    </row>
    <row r="132" spans="1:6" ht="54">
      <c r="A132" s="19">
        <v>62</v>
      </c>
      <c r="B132" s="20" t="s">
        <v>185</v>
      </c>
      <c r="C132" s="19" t="s">
        <v>187</v>
      </c>
      <c r="D132" s="21" t="s">
        <v>186</v>
      </c>
      <c r="E132" s="20" t="s">
        <v>25</v>
      </c>
      <c r="F132" s="22" t="s">
        <v>27</v>
      </c>
    </row>
    <row r="133" spans="1:6" ht="22.5">
      <c r="A133" s="5">
        <v>63</v>
      </c>
      <c r="B133" s="6" t="s">
        <v>188</v>
      </c>
      <c r="C133" s="5" t="s">
        <v>190</v>
      </c>
      <c r="D133" s="11" t="s">
        <v>189</v>
      </c>
      <c r="E133" s="6" t="s">
        <v>102</v>
      </c>
      <c r="F133" s="7" t="s">
        <v>31</v>
      </c>
    </row>
    <row r="134" spans="1:6" ht="33">
      <c r="A134" s="19">
        <v>64</v>
      </c>
      <c r="B134" s="20" t="s">
        <v>191</v>
      </c>
      <c r="C134" s="19" t="s">
        <v>193</v>
      </c>
      <c r="D134" s="21" t="s">
        <v>192</v>
      </c>
      <c r="E134" s="20" t="s">
        <v>25</v>
      </c>
      <c r="F134" s="22" t="s">
        <v>27</v>
      </c>
    </row>
    <row r="135" spans="1:6" ht="15">
      <c r="A135" s="19">
        <v>65</v>
      </c>
      <c r="B135" s="20" t="s">
        <v>194</v>
      </c>
      <c r="C135" s="19" t="s">
        <v>195</v>
      </c>
      <c r="D135" s="21" t="s">
        <v>148</v>
      </c>
      <c r="E135" s="20" t="s">
        <v>25</v>
      </c>
      <c r="F135" s="22" t="s">
        <v>27</v>
      </c>
    </row>
    <row r="136" spans="1:6" ht="22.5">
      <c r="A136" s="5">
        <v>66</v>
      </c>
      <c r="B136" s="6" t="s">
        <v>196</v>
      </c>
      <c r="C136" s="5" t="s">
        <v>198</v>
      </c>
      <c r="D136" s="11" t="s">
        <v>197</v>
      </c>
      <c r="E136" s="6" t="s">
        <v>102</v>
      </c>
      <c r="F136" s="7" t="s">
        <v>31</v>
      </c>
    </row>
    <row r="137" spans="1:6" ht="22.5">
      <c r="A137" s="5">
        <v>67</v>
      </c>
      <c r="B137" s="6" t="s">
        <v>199</v>
      </c>
      <c r="C137" s="5" t="s">
        <v>404</v>
      </c>
      <c r="D137" s="11" t="s">
        <v>405</v>
      </c>
      <c r="E137" s="6" t="s">
        <v>102</v>
      </c>
      <c r="F137" s="7" t="s">
        <v>31</v>
      </c>
    </row>
    <row r="138" spans="1:6" ht="22.5">
      <c r="A138" s="5">
        <v>68</v>
      </c>
      <c r="B138" s="6" t="s">
        <v>200</v>
      </c>
      <c r="C138" s="5" t="s">
        <v>201</v>
      </c>
      <c r="D138" s="11" t="s">
        <v>405</v>
      </c>
      <c r="E138" s="6" t="s">
        <v>102</v>
      </c>
      <c r="F138" s="7" t="s">
        <v>31</v>
      </c>
    </row>
    <row r="139" spans="1:6" ht="15">
      <c r="A139" s="19">
        <v>69</v>
      </c>
      <c r="B139" s="20" t="s">
        <v>202</v>
      </c>
      <c r="C139" s="19" t="s">
        <v>203</v>
      </c>
      <c r="D139" s="21" t="s">
        <v>148</v>
      </c>
      <c r="E139" s="20" t="s">
        <v>25</v>
      </c>
      <c r="F139" s="22" t="s">
        <v>27</v>
      </c>
    </row>
    <row r="140" spans="1:6" ht="15">
      <c r="A140" s="19">
        <v>70</v>
      </c>
      <c r="B140" s="20" t="s">
        <v>204</v>
      </c>
      <c r="C140" s="19" t="s">
        <v>206</v>
      </c>
      <c r="D140" s="21" t="s">
        <v>205</v>
      </c>
      <c r="E140" s="20" t="s">
        <v>129</v>
      </c>
      <c r="F140" s="22" t="s">
        <v>27</v>
      </c>
    </row>
    <row r="141" spans="1:6" ht="15">
      <c r="A141" s="19">
        <v>71</v>
      </c>
      <c r="B141" s="20" t="s">
        <v>207</v>
      </c>
      <c r="C141" s="19" t="s">
        <v>206</v>
      </c>
      <c r="D141" s="21" t="s">
        <v>205</v>
      </c>
      <c r="E141" s="20" t="s">
        <v>129</v>
      </c>
      <c r="F141" s="22" t="s">
        <v>27</v>
      </c>
    </row>
    <row r="142" spans="1:6" ht="15">
      <c r="A142" s="19">
        <v>72</v>
      </c>
      <c r="B142" s="20" t="s">
        <v>208</v>
      </c>
      <c r="C142" s="19" t="s">
        <v>393</v>
      </c>
      <c r="D142" s="21" t="s">
        <v>209</v>
      </c>
      <c r="E142" s="20" t="s">
        <v>109</v>
      </c>
      <c r="F142" s="22" t="s">
        <v>27</v>
      </c>
    </row>
    <row r="143" spans="1:6" ht="15">
      <c r="A143" s="19">
        <v>73</v>
      </c>
      <c r="B143" s="20" t="s">
        <v>210</v>
      </c>
      <c r="C143" s="19" t="s">
        <v>353</v>
      </c>
      <c r="D143" s="21" t="s">
        <v>211</v>
      </c>
      <c r="E143" s="20" t="s">
        <v>129</v>
      </c>
      <c r="F143" s="22" t="s">
        <v>27</v>
      </c>
    </row>
    <row r="144" spans="1:6" ht="15">
      <c r="A144" s="19">
        <v>74</v>
      </c>
      <c r="B144" s="20" t="s">
        <v>212</v>
      </c>
      <c r="C144" s="19" t="s">
        <v>355</v>
      </c>
      <c r="D144" s="21" t="s">
        <v>211</v>
      </c>
      <c r="E144" s="20" t="s">
        <v>117</v>
      </c>
      <c r="F144" s="22" t="s">
        <v>27</v>
      </c>
    </row>
    <row r="145" spans="1:6" ht="15">
      <c r="A145" s="19">
        <v>75</v>
      </c>
      <c r="B145" s="20" t="s">
        <v>213</v>
      </c>
      <c r="C145" s="19" t="s">
        <v>356</v>
      </c>
      <c r="D145" s="21" t="s">
        <v>214</v>
      </c>
      <c r="E145" s="20" t="s">
        <v>215</v>
      </c>
      <c r="F145" s="22" t="s">
        <v>27</v>
      </c>
    </row>
    <row r="146" spans="1:6" ht="15">
      <c r="A146" s="19">
        <v>76</v>
      </c>
      <c r="B146" s="20" t="s">
        <v>216</v>
      </c>
      <c r="C146" s="19" t="s">
        <v>366</v>
      </c>
      <c r="D146" s="21" t="s">
        <v>367</v>
      </c>
      <c r="E146" s="20" t="s">
        <v>25</v>
      </c>
      <c r="F146" s="22" t="s">
        <v>27</v>
      </c>
    </row>
    <row r="147" spans="1:6" ht="15">
      <c r="A147" s="19">
        <v>77</v>
      </c>
      <c r="B147" s="20" t="s">
        <v>217</v>
      </c>
      <c r="C147" s="19" t="s">
        <v>368</v>
      </c>
      <c r="D147" s="21" t="s">
        <v>231</v>
      </c>
      <c r="E147" s="20" t="s">
        <v>25</v>
      </c>
      <c r="F147" s="22" t="s">
        <v>27</v>
      </c>
    </row>
    <row r="148" spans="1:6" ht="15">
      <c r="A148" s="19">
        <v>78</v>
      </c>
      <c r="B148" s="20" t="s">
        <v>218</v>
      </c>
      <c r="C148" s="19" t="s">
        <v>394</v>
      </c>
      <c r="D148" s="21" t="s">
        <v>406</v>
      </c>
      <c r="E148" s="20" t="s">
        <v>113</v>
      </c>
      <c r="F148" s="22" t="s">
        <v>27</v>
      </c>
    </row>
    <row r="149" spans="1:6" ht="15">
      <c r="A149" s="19">
        <v>79</v>
      </c>
      <c r="B149" s="20" t="s">
        <v>219</v>
      </c>
      <c r="C149" s="19" t="s">
        <v>220</v>
      </c>
      <c r="D149" s="21" t="s">
        <v>162</v>
      </c>
      <c r="E149" s="20" t="s">
        <v>25</v>
      </c>
      <c r="F149" s="22" t="s">
        <v>27</v>
      </c>
    </row>
    <row r="150" spans="1:6" ht="15">
      <c r="A150" s="19">
        <v>80</v>
      </c>
      <c r="B150" s="20" t="s">
        <v>221</v>
      </c>
      <c r="C150" s="19" t="s">
        <v>346</v>
      </c>
      <c r="D150" s="21" t="s">
        <v>231</v>
      </c>
      <c r="E150" s="20" t="s">
        <v>25</v>
      </c>
      <c r="F150" s="22" t="s">
        <v>27</v>
      </c>
    </row>
    <row r="151" spans="1:6" ht="15">
      <c r="A151" s="19">
        <v>82</v>
      </c>
      <c r="B151" s="20" t="s">
        <v>222</v>
      </c>
      <c r="C151" s="19" t="s">
        <v>391</v>
      </c>
      <c r="D151" s="21" t="s">
        <v>247</v>
      </c>
      <c r="E151" s="20" t="s">
        <v>52</v>
      </c>
      <c r="F151" s="22" t="s">
        <v>27</v>
      </c>
    </row>
    <row r="152" spans="1:6" ht="15">
      <c r="A152" s="19">
        <v>83</v>
      </c>
      <c r="B152" s="20" t="s">
        <v>223</v>
      </c>
      <c r="C152" s="19" t="s">
        <v>392</v>
      </c>
      <c r="D152" s="21" t="s">
        <v>400</v>
      </c>
      <c r="E152" s="20" t="s">
        <v>52</v>
      </c>
      <c r="F152" s="22" t="s">
        <v>27</v>
      </c>
    </row>
    <row r="153" spans="1:6" ht="33">
      <c r="A153" s="19">
        <v>84</v>
      </c>
      <c r="B153" s="20" t="s">
        <v>224</v>
      </c>
      <c r="C153" s="19" t="s">
        <v>395</v>
      </c>
      <c r="D153" s="21" t="s">
        <v>411</v>
      </c>
      <c r="E153" s="20" t="s">
        <v>77</v>
      </c>
      <c r="F153" s="22" t="s">
        <v>27</v>
      </c>
    </row>
    <row r="154" spans="1:6" ht="15">
      <c r="A154" s="5">
        <v>85</v>
      </c>
      <c r="B154" s="6" t="s">
        <v>225</v>
      </c>
      <c r="C154" s="5"/>
      <c r="D154" s="11" t="s">
        <v>231</v>
      </c>
      <c r="E154" s="6" t="s">
        <v>25</v>
      </c>
      <c r="F154" s="7" t="s">
        <v>31</v>
      </c>
    </row>
    <row r="155" spans="1:6" ht="15">
      <c r="A155" s="19">
        <v>86</v>
      </c>
      <c r="B155" s="20" t="s">
        <v>226</v>
      </c>
      <c r="C155" s="19" t="s">
        <v>396</v>
      </c>
      <c r="D155" s="21" t="s">
        <v>231</v>
      </c>
      <c r="E155" s="20" t="s">
        <v>25</v>
      </c>
      <c r="F155" s="22" t="s">
        <v>27</v>
      </c>
    </row>
    <row r="156" spans="1:6" ht="15">
      <c r="A156" s="19">
        <v>87</v>
      </c>
      <c r="B156" s="20" t="s">
        <v>227</v>
      </c>
      <c r="C156" s="19"/>
      <c r="D156" s="21" t="s">
        <v>231</v>
      </c>
      <c r="E156" s="20" t="s">
        <v>25</v>
      </c>
      <c r="F156" s="22" t="s">
        <v>27</v>
      </c>
    </row>
    <row r="157" spans="1:6" ht="15">
      <c r="A157" s="19">
        <v>88</v>
      </c>
      <c r="B157" s="20" t="s">
        <v>228</v>
      </c>
      <c r="C157" s="19" t="s">
        <v>397</v>
      </c>
      <c r="D157" s="21" t="s">
        <v>412</v>
      </c>
      <c r="E157" s="20" t="s">
        <v>25</v>
      </c>
      <c r="F157" s="22" t="s">
        <v>27</v>
      </c>
    </row>
    <row r="158" spans="1:6" ht="15">
      <c r="A158" s="19">
        <v>89</v>
      </c>
      <c r="B158" s="20" t="s">
        <v>229</v>
      </c>
      <c r="C158" s="19" t="s">
        <v>398</v>
      </c>
      <c r="D158" s="21" t="s">
        <v>357</v>
      </c>
      <c r="E158" s="20" t="s">
        <v>25</v>
      </c>
      <c r="F158" s="22" t="s">
        <v>27</v>
      </c>
    </row>
    <row r="159" spans="1:6" ht="15">
      <c r="A159" s="19">
        <v>90</v>
      </c>
      <c r="B159" s="20" t="s">
        <v>230</v>
      </c>
      <c r="C159" s="19"/>
      <c r="D159" s="21" t="s">
        <v>399</v>
      </c>
      <c r="E159" s="20" t="s">
        <v>25</v>
      </c>
      <c r="F159" s="22" t="s">
        <v>31</v>
      </c>
    </row>
    <row r="160" spans="1:6" ht="15">
      <c r="A160" s="19">
        <v>91</v>
      </c>
      <c r="B160" s="20" t="s">
        <v>232</v>
      </c>
      <c r="C160" s="19" t="s">
        <v>235</v>
      </c>
      <c r="D160" s="21" t="s">
        <v>233</v>
      </c>
      <c r="E160" s="20" t="s">
        <v>234</v>
      </c>
      <c r="F160" s="22" t="s">
        <v>27</v>
      </c>
    </row>
    <row r="161" spans="1:6" ht="15">
      <c r="A161" s="19">
        <v>92</v>
      </c>
      <c r="B161" s="20" t="s">
        <v>236</v>
      </c>
      <c r="C161" s="19" t="s">
        <v>237</v>
      </c>
      <c r="D161" s="21" t="s">
        <v>233</v>
      </c>
      <c r="E161" s="20" t="s">
        <v>109</v>
      </c>
      <c r="F161" s="22" t="s">
        <v>27</v>
      </c>
    </row>
    <row r="162" spans="1:6" ht="22.5">
      <c r="A162" s="19">
        <v>93</v>
      </c>
      <c r="B162" s="20" t="s">
        <v>238</v>
      </c>
      <c r="C162" s="19" t="s">
        <v>240</v>
      </c>
      <c r="D162" s="21" t="s">
        <v>239</v>
      </c>
      <c r="E162" s="20" t="s">
        <v>90</v>
      </c>
      <c r="F162" s="22" t="s">
        <v>27</v>
      </c>
    </row>
    <row r="163" spans="1:6" ht="15">
      <c r="A163" s="19">
        <v>94</v>
      </c>
      <c r="B163" s="20" t="s">
        <v>241</v>
      </c>
      <c r="C163" s="19" t="s">
        <v>242</v>
      </c>
      <c r="D163" s="21" t="s">
        <v>244</v>
      </c>
      <c r="E163" s="20" t="s">
        <v>25</v>
      </c>
      <c r="F163" s="22" t="s">
        <v>27</v>
      </c>
    </row>
    <row r="164" spans="1:6" ht="15">
      <c r="A164" s="19">
        <v>95</v>
      </c>
      <c r="B164" s="20" t="s">
        <v>243</v>
      </c>
      <c r="C164" s="19" t="s">
        <v>245</v>
      </c>
      <c r="D164" s="21" t="s">
        <v>244</v>
      </c>
      <c r="E164" s="20" t="s">
        <v>83</v>
      </c>
      <c r="F164" s="22" t="s">
        <v>27</v>
      </c>
    </row>
    <row r="165" spans="1:6" ht="15">
      <c r="A165" s="19">
        <v>96</v>
      </c>
      <c r="B165" s="20" t="s">
        <v>246</v>
      </c>
      <c r="C165" s="19" t="s">
        <v>248</v>
      </c>
      <c r="D165" s="21" t="s">
        <v>247</v>
      </c>
      <c r="E165" s="20" t="s">
        <v>52</v>
      </c>
      <c r="F165" s="22" t="s">
        <v>27</v>
      </c>
    </row>
    <row r="166" spans="1:6" ht="15">
      <c r="A166" s="19">
        <v>97</v>
      </c>
      <c r="B166" s="20" t="s">
        <v>249</v>
      </c>
      <c r="C166" s="19" t="s">
        <v>251</v>
      </c>
      <c r="D166" s="21" t="s">
        <v>250</v>
      </c>
      <c r="E166" s="20" t="s">
        <v>25</v>
      </c>
      <c r="F166" s="22" t="s">
        <v>27</v>
      </c>
    </row>
    <row r="167" spans="1:6" ht="21">
      <c r="A167" s="5">
        <v>98</v>
      </c>
      <c r="B167" s="6" t="s">
        <v>252</v>
      </c>
      <c r="C167" s="5" t="s">
        <v>255</v>
      </c>
      <c r="D167" s="6" t="s">
        <v>253</v>
      </c>
      <c r="E167" s="6" t="s">
        <v>254</v>
      </c>
      <c r="F167" s="7" t="s">
        <v>31</v>
      </c>
    </row>
    <row r="168" spans="1:6" ht="15">
      <c r="A168" s="19">
        <v>100</v>
      </c>
      <c r="B168" s="20" t="s">
        <v>256</v>
      </c>
      <c r="C168" s="19" t="s">
        <v>257</v>
      </c>
      <c r="D168" s="21" t="s">
        <v>348</v>
      </c>
      <c r="E168" s="20" t="s">
        <v>25</v>
      </c>
      <c r="F168" s="22" t="s">
        <v>27</v>
      </c>
    </row>
    <row r="169" spans="1:6" ht="15">
      <c r="A169" s="19">
        <v>101</v>
      </c>
      <c r="B169" s="20" t="s">
        <v>258</v>
      </c>
      <c r="C169" s="19" t="s">
        <v>259</v>
      </c>
      <c r="D169" s="21" t="s">
        <v>348</v>
      </c>
      <c r="E169" s="20" t="s">
        <v>25</v>
      </c>
      <c r="F169" s="22" t="s">
        <v>27</v>
      </c>
    </row>
    <row r="170" spans="1:6" ht="15">
      <c r="A170" s="19">
        <v>102</v>
      </c>
      <c r="B170" s="20" t="s">
        <v>260</v>
      </c>
      <c r="C170" s="19" t="s">
        <v>261</v>
      </c>
      <c r="D170" s="21" t="s">
        <v>148</v>
      </c>
      <c r="E170" s="20" t="s">
        <v>25</v>
      </c>
      <c r="F170" s="22" t="s">
        <v>27</v>
      </c>
    </row>
    <row r="171" spans="1:6" ht="15">
      <c r="A171" s="19">
        <v>103</v>
      </c>
      <c r="B171" s="20" t="s">
        <v>262</v>
      </c>
      <c r="C171" s="19" t="s">
        <v>264</v>
      </c>
      <c r="D171" s="21" t="s">
        <v>263</v>
      </c>
      <c r="E171" s="20" t="s">
        <v>25</v>
      </c>
      <c r="F171" s="22" t="s">
        <v>27</v>
      </c>
    </row>
    <row r="172" spans="1:6" ht="15">
      <c r="A172" s="5">
        <v>104</v>
      </c>
      <c r="B172" s="6" t="s">
        <v>265</v>
      </c>
      <c r="C172" s="5" t="s">
        <v>266</v>
      </c>
      <c r="D172" s="11" t="s">
        <v>263</v>
      </c>
      <c r="E172" s="6" t="s">
        <v>25</v>
      </c>
      <c r="F172" s="7" t="s">
        <v>27</v>
      </c>
    </row>
    <row r="173" spans="1:6" ht="15">
      <c r="A173" s="19">
        <v>105</v>
      </c>
      <c r="B173" s="20" t="s">
        <v>267</v>
      </c>
      <c r="C173" s="19" t="s">
        <v>268</v>
      </c>
      <c r="D173" s="21" t="s">
        <v>263</v>
      </c>
      <c r="E173" s="20" t="s">
        <v>25</v>
      </c>
      <c r="F173" s="22" t="s">
        <v>27</v>
      </c>
    </row>
    <row r="174" spans="1:6" ht="33">
      <c r="A174" s="5">
        <v>106</v>
      </c>
      <c r="B174" s="6" t="s">
        <v>269</v>
      </c>
      <c r="C174" s="5" t="s">
        <v>41</v>
      </c>
      <c r="D174" s="11" t="s">
        <v>270</v>
      </c>
      <c r="E174" s="6" t="s">
        <v>40</v>
      </c>
      <c r="F174" s="7" t="s">
        <v>31</v>
      </c>
    </row>
    <row r="175" spans="1:6" ht="33">
      <c r="A175" s="5">
        <v>107</v>
      </c>
      <c r="B175" s="6" t="s">
        <v>271</v>
      </c>
      <c r="C175" s="5" t="s">
        <v>41</v>
      </c>
      <c r="D175" s="11" t="s">
        <v>270</v>
      </c>
      <c r="E175" s="6" t="s">
        <v>40</v>
      </c>
      <c r="F175" s="7" t="s">
        <v>31</v>
      </c>
    </row>
    <row r="176" spans="1:6" ht="22.5">
      <c r="A176" s="19">
        <v>108</v>
      </c>
      <c r="B176" s="20" t="s">
        <v>272</v>
      </c>
      <c r="C176" s="19" t="s">
        <v>274</v>
      </c>
      <c r="D176" s="21" t="s">
        <v>273</v>
      </c>
      <c r="E176" s="20" t="s">
        <v>109</v>
      </c>
      <c r="F176" s="22" t="s">
        <v>27</v>
      </c>
    </row>
    <row r="177" spans="1:6" ht="22.5">
      <c r="A177" s="19">
        <v>109</v>
      </c>
      <c r="B177" s="20" t="s">
        <v>275</v>
      </c>
      <c r="C177" s="19" t="s">
        <v>277</v>
      </c>
      <c r="D177" s="21" t="s">
        <v>276</v>
      </c>
      <c r="E177" s="20" t="s">
        <v>25</v>
      </c>
      <c r="F177" s="22" t="s">
        <v>27</v>
      </c>
    </row>
    <row r="178" spans="1:6" ht="15">
      <c r="A178" s="19">
        <v>110</v>
      </c>
      <c r="B178" s="20" t="s">
        <v>278</v>
      </c>
      <c r="C178" s="19" t="s">
        <v>280</v>
      </c>
      <c r="D178" s="21" t="s">
        <v>279</v>
      </c>
      <c r="E178" s="20" t="s">
        <v>109</v>
      </c>
      <c r="F178" s="22" t="s">
        <v>27</v>
      </c>
    </row>
    <row r="179" spans="1:6" ht="22.5">
      <c r="A179" s="5">
        <v>111</v>
      </c>
      <c r="B179" s="6" t="s">
        <v>281</v>
      </c>
      <c r="C179" s="5" t="s">
        <v>283</v>
      </c>
      <c r="D179" s="11" t="s">
        <v>282</v>
      </c>
      <c r="E179" s="6" t="s">
        <v>25</v>
      </c>
      <c r="F179" s="7" t="s">
        <v>31</v>
      </c>
    </row>
    <row r="180" spans="1:6" ht="15">
      <c r="A180" s="19">
        <v>112</v>
      </c>
      <c r="B180" s="20" t="s">
        <v>284</v>
      </c>
      <c r="C180" s="19" t="s">
        <v>286</v>
      </c>
      <c r="D180" s="21" t="s">
        <v>285</v>
      </c>
      <c r="E180" s="20" t="s">
        <v>25</v>
      </c>
      <c r="F180" s="22" t="s">
        <v>27</v>
      </c>
    </row>
    <row r="181" spans="1:6" ht="15">
      <c r="A181" s="5">
        <v>113</v>
      </c>
      <c r="B181" s="6" t="s">
        <v>287</v>
      </c>
      <c r="C181" s="5" t="s">
        <v>289</v>
      </c>
      <c r="D181" s="11" t="s">
        <v>413</v>
      </c>
      <c r="E181" s="6" t="s">
        <v>288</v>
      </c>
      <c r="F181" s="7" t="s">
        <v>31</v>
      </c>
    </row>
    <row r="182" spans="1:6" ht="21">
      <c r="A182" s="19">
        <v>114</v>
      </c>
      <c r="B182" s="20" t="s">
        <v>290</v>
      </c>
      <c r="C182" s="19" t="s">
        <v>292</v>
      </c>
      <c r="D182" s="20" t="s">
        <v>291</v>
      </c>
      <c r="E182" s="20" t="s">
        <v>25</v>
      </c>
      <c r="F182" s="22" t="s">
        <v>27</v>
      </c>
    </row>
    <row r="183" spans="1:6" ht="21">
      <c r="A183" s="19">
        <v>115</v>
      </c>
      <c r="B183" s="20" t="s">
        <v>293</v>
      </c>
      <c r="C183" s="19" t="s">
        <v>292</v>
      </c>
      <c r="D183" s="20" t="s">
        <v>291</v>
      </c>
      <c r="E183" s="20" t="s">
        <v>25</v>
      </c>
      <c r="F183" s="22" t="s">
        <v>27</v>
      </c>
    </row>
    <row r="184" spans="1:6" ht="33">
      <c r="A184" s="19">
        <v>116</v>
      </c>
      <c r="B184" s="20" t="s">
        <v>294</v>
      </c>
      <c r="C184" s="19" t="s">
        <v>296</v>
      </c>
      <c r="D184" s="21" t="s">
        <v>295</v>
      </c>
      <c r="E184" s="20" t="s">
        <v>109</v>
      </c>
      <c r="F184" s="22" t="s">
        <v>27</v>
      </c>
    </row>
    <row r="185" spans="1:6" ht="15">
      <c r="A185" s="19">
        <v>117</v>
      </c>
      <c r="B185" s="20" t="s">
        <v>297</v>
      </c>
      <c r="C185" s="19" t="s">
        <v>299</v>
      </c>
      <c r="D185" s="21" t="s">
        <v>298</v>
      </c>
      <c r="E185" s="20" t="s">
        <v>113</v>
      </c>
      <c r="F185" s="22" t="s">
        <v>27</v>
      </c>
    </row>
    <row r="186" spans="1:6" ht="15">
      <c r="A186" s="5">
        <v>118</v>
      </c>
      <c r="B186" s="6" t="s">
        <v>300</v>
      </c>
      <c r="C186" s="5" t="s">
        <v>302</v>
      </c>
      <c r="D186" s="11" t="s">
        <v>301</v>
      </c>
      <c r="E186" s="6" t="s">
        <v>25</v>
      </c>
      <c r="F186" s="7" t="s">
        <v>27</v>
      </c>
    </row>
    <row r="187" spans="1:6" ht="15">
      <c r="A187" s="5">
        <v>119</v>
      </c>
      <c r="B187" s="6" t="s">
        <v>303</v>
      </c>
      <c r="C187" s="5"/>
      <c r="D187" s="11" t="s">
        <v>407</v>
      </c>
      <c r="E187" s="6" t="s">
        <v>25</v>
      </c>
      <c r="F187" s="7" t="s">
        <v>27</v>
      </c>
    </row>
    <row r="188" spans="1:6" ht="15">
      <c r="A188" s="19">
        <v>120</v>
      </c>
      <c r="B188" s="20" t="s">
        <v>304</v>
      </c>
      <c r="C188" s="19" t="s">
        <v>305</v>
      </c>
      <c r="D188" s="21" t="s">
        <v>231</v>
      </c>
      <c r="E188" s="20" t="s">
        <v>25</v>
      </c>
      <c r="F188" s="22" t="s">
        <v>27</v>
      </c>
    </row>
    <row r="189" spans="1:6" ht="15">
      <c r="A189" s="19">
        <v>121</v>
      </c>
      <c r="B189" s="20" t="s">
        <v>306</v>
      </c>
      <c r="C189" s="23" t="s">
        <v>307</v>
      </c>
      <c r="D189" s="21" t="s">
        <v>285</v>
      </c>
      <c r="E189" s="20" t="s">
        <v>25</v>
      </c>
      <c r="F189" s="22" t="s">
        <v>27</v>
      </c>
    </row>
    <row r="190" spans="1:6" ht="22.5">
      <c r="A190" s="19">
        <v>122</v>
      </c>
      <c r="B190" s="20" t="s">
        <v>308</v>
      </c>
      <c r="C190" s="19" t="s">
        <v>310</v>
      </c>
      <c r="D190" s="21" t="s">
        <v>309</v>
      </c>
      <c r="E190" s="20" t="s">
        <v>109</v>
      </c>
      <c r="F190" s="22" t="s">
        <v>27</v>
      </c>
    </row>
    <row r="191" spans="1:6" ht="15">
      <c r="A191" s="5">
        <v>123</v>
      </c>
      <c r="B191" s="6" t="s">
        <v>311</v>
      </c>
      <c r="C191" s="5" t="s">
        <v>312</v>
      </c>
      <c r="D191" s="11" t="s">
        <v>148</v>
      </c>
      <c r="E191" s="6" t="s">
        <v>25</v>
      </c>
      <c r="F191" s="7" t="s">
        <v>27</v>
      </c>
    </row>
    <row r="192" spans="1:6" ht="15">
      <c r="A192" s="19">
        <v>124</v>
      </c>
      <c r="B192" s="20" t="s">
        <v>313</v>
      </c>
      <c r="C192" s="19" t="s">
        <v>383</v>
      </c>
      <c r="D192" s="21" t="s">
        <v>314</v>
      </c>
      <c r="E192" s="20" t="s">
        <v>25</v>
      </c>
      <c r="F192" s="22" t="s">
        <v>27</v>
      </c>
    </row>
    <row r="193" spans="1:6" ht="15">
      <c r="A193" s="19">
        <v>125</v>
      </c>
      <c r="B193" s="20" t="s">
        <v>315</v>
      </c>
      <c r="C193" s="19" t="s">
        <v>384</v>
      </c>
      <c r="D193" s="21" t="s">
        <v>314</v>
      </c>
      <c r="E193" s="20" t="s">
        <v>25</v>
      </c>
      <c r="F193" s="22" t="s">
        <v>27</v>
      </c>
    </row>
    <row r="194" ht="15">
      <c r="C194" s="5"/>
    </row>
  </sheetData>
  <sheetProtection/>
  <hyperlinks>
    <hyperlink ref="C33" r:id="rId1" display="blake.tullis@usu.edu"/>
    <hyperlink ref="C35" r:id="rId2" display="bung@fh-aachen.de"/>
    <hyperlink ref="C38" r:id="rId3" display="christod@hydro.ntua.gr"/>
    <hyperlink ref="C48" r:id="rId4" display="j.dolz@upc.edu"/>
    <hyperlink ref="C54" r:id="rId5" display="pedromanso@hotmail.com"/>
    <hyperlink ref="C55" r:id="rId6" display="rutschmann@tum.de"/>
    <hyperlink ref="C63" r:id="rId7" display="rmaia@fe.up.pt"/>
    <hyperlink ref="C65" r:id="rId8" display="tviseu@lnec.pt"/>
  </hyperlinks>
  <printOptions/>
  <pageMargins left="0.7" right="0.7" top="0.75" bottom="0.75" header="0.3" footer="0.3"/>
  <pageSetup horizontalDpi="600" verticalDpi="600" orientation="landscape" paperSize="9" r:id="rId9"/>
  <rowBreaks count="1" manualBreakCount="1">
    <brk id="70" max="255" man="1"/>
  </rowBreaks>
  <customProperties>
    <customPr name="DVSECTIONID" r:id="rId10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V17"/>
  <sheetViews>
    <sheetView zoomScalePageLayoutView="0" workbookViewId="0" topLeftCell="A1">
      <selection activeCell="A15" sqref="A15"/>
    </sheetView>
  </sheetViews>
  <sheetFormatPr defaultColWidth="9.140625" defaultRowHeight="15"/>
  <sheetData>
    <row r="1" spans="1:256" ht="15">
      <c r="A1" t="e">
        <f>IF(Sheet1!1:1,"AAAAADt6fQA=",0)</f>
        <v>#VALUE!</v>
      </c>
      <c r="B1" t="e">
        <f>AND(Sheet1!A1,"AAAAADt6fQE=")</f>
        <v>#VALUE!</v>
      </c>
      <c r="C1" t="e">
        <f>AND(Sheet1!B1,"AAAAADt6fQI=")</f>
        <v>#VALUE!</v>
      </c>
      <c r="D1" t="e">
        <f>AND(Sheet1!C1,"AAAAADt6fQM=")</f>
        <v>#VALUE!</v>
      </c>
      <c r="E1" t="e">
        <f>AND(Sheet1!D1,"AAAAADt6fQQ=")</f>
        <v>#VALUE!</v>
      </c>
      <c r="F1" t="e">
        <f>AND(Sheet1!E1,"AAAAADt6fQU=")</f>
        <v>#VALUE!</v>
      </c>
      <c r="G1">
        <f>IF(Sheet1!3:3,"AAAAADt6fQY=",0)</f>
        <v>0</v>
      </c>
      <c r="H1" t="e">
        <f>AND(Sheet1!A3,"AAAAADt6fQc=")</f>
        <v>#VALUE!</v>
      </c>
      <c r="I1" t="e">
        <f>AND(Sheet1!B3,"AAAAADt6fQg=")</f>
        <v>#VALUE!</v>
      </c>
      <c r="J1" t="e">
        <f>AND(Sheet1!C3,"AAAAADt6fQk=")</f>
        <v>#VALUE!</v>
      </c>
      <c r="K1" t="e">
        <f>AND(Sheet1!D3,"AAAAADt6fQo=")</f>
        <v>#VALUE!</v>
      </c>
      <c r="L1" t="e">
        <f>AND(Sheet1!E3,"AAAAADt6fQs=")</f>
        <v>#VALUE!</v>
      </c>
      <c r="M1">
        <f>IF(Sheet1!4:4,"AAAAADt6fQw=",0)</f>
        <v>0</v>
      </c>
      <c r="N1" t="e">
        <f>AND(Sheet1!A4,"AAAAADt6fQ0=")</f>
        <v>#VALUE!</v>
      </c>
      <c r="O1" t="e">
        <f>AND(Sheet1!B4,"AAAAADt6fQ4=")</f>
        <v>#VALUE!</v>
      </c>
      <c r="P1" t="e">
        <f>AND(Sheet1!C4,"AAAAADt6fQ8=")</f>
        <v>#VALUE!</v>
      </c>
      <c r="Q1" t="e">
        <f>AND(Sheet1!D4,"AAAAADt6fRA=")</f>
        <v>#VALUE!</v>
      </c>
      <c r="R1" t="e">
        <f>AND(Sheet1!E4,"AAAAADt6fRE=")</f>
        <v>#VALUE!</v>
      </c>
      <c r="S1">
        <f>IF(Sheet1!5:5,"AAAAADt6fRI=",0)</f>
        <v>0</v>
      </c>
      <c r="T1" t="e">
        <f>AND(Sheet1!A5,"AAAAADt6fRM=")</f>
        <v>#VALUE!</v>
      </c>
      <c r="U1" t="e">
        <f>AND(Sheet1!B5,"AAAAADt6fRQ=")</f>
        <v>#VALUE!</v>
      </c>
      <c r="V1" t="e">
        <f>AND(Sheet1!C5,"AAAAADt6fRU=")</f>
        <v>#VALUE!</v>
      </c>
      <c r="W1" t="e">
        <f>AND(Sheet1!D5,"AAAAADt6fRY=")</f>
        <v>#VALUE!</v>
      </c>
      <c r="X1" t="e">
        <f>AND(Sheet1!E5,"AAAAADt6fRc=")</f>
        <v>#VALUE!</v>
      </c>
      <c r="Y1">
        <f>IF(Sheet1!6:6,"AAAAADt6fRg=",0)</f>
        <v>0</v>
      </c>
      <c r="Z1" t="e">
        <f>AND(Sheet1!A6,"AAAAADt6fRk=")</f>
        <v>#VALUE!</v>
      </c>
      <c r="AA1" t="e">
        <f>AND(Sheet1!B6,"AAAAADt6fRo=")</f>
        <v>#VALUE!</v>
      </c>
      <c r="AB1" t="e">
        <f>AND(Sheet1!C6,"AAAAADt6fRs=")</f>
        <v>#VALUE!</v>
      </c>
      <c r="AC1" t="e">
        <f>AND(Sheet1!D6,"AAAAADt6fRw=")</f>
        <v>#VALUE!</v>
      </c>
      <c r="AD1" t="e">
        <f>AND(Sheet1!E6,"AAAAADt6fR0=")</f>
        <v>#VALUE!</v>
      </c>
      <c r="AE1">
        <f>IF(Sheet1!7:7,"AAAAADt6fR4=",0)</f>
        <v>0</v>
      </c>
      <c r="AF1" t="e">
        <f>AND(Sheet1!A7,"AAAAADt6fR8=")</f>
        <v>#VALUE!</v>
      </c>
      <c r="AG1" t="e">
        <f>AND(Sheet1!B7,"AAAAADt6fSA=")</f>
        <v>#VALUE!</v>
      </c>
      <c r="AH1" t="e">
        <f>AND(Sheet1!C7,"AAAAADt6fSE=")</f>
        <v>#VALUE!</v>
      </c>
      <c r="AI1" t="e">
        <f>AND(Sheet1!D7,"AAAAADt6fSI=")</f>
        <v>#VALUE!</v>
      </c>
      <c r="AJ1" t="e">
        <f>AND(Sheet1!E7,"AAAAADt6fSM=")</f>
        <v>#VALUE!</v>
      </c>
      <c r="AK1">
        <f>IF(Sheet1!8:8,"AAAAADt6fSQ=",0)</f>
        <v>0</v>
      </c>
      <c r="AL1" t="e">
        <f>AND(Sheet1!A8,"AAAAADt6fSU=")</f>
        <v>#VALUE!</v>
      </c>
      <c r="AM1" t="e">
        <f>AND(Sheet1!B8,"AAAAADt6fSY=")</f>
        <v>#VALUE!</v>
      </c>
      <c r="AN1" t="e">
        <f>AND(Sheet1!C8,"AAAAADt6fSc=")</f>
        <v>#VALUE!</v>
      </c>
      <c r="AO1" t="e">
        <f>AND(Sheet1!D8,"AAAAADt6fSg=")</f>
        <v>#VALUE!</v>
      </c>
      <c r="AP1" t="e">
        <f>AND(Sheet1!E8,"AAAAADt6fSk=")</f>
        <v>#VALUE!</v>
      </c>
      <c r="AQ1">
        <f>IF(Sheet1!9:9,"AAAAADt6fSo=",0)</f>
        <v>0</v>
      </c>
      <c r="AR1" t="e">
        <f>AND(Sheet1!A9,"AAAAADt6fSs=")</f>
        <v>#VALUE!</v>
      </c>
      <c r="AS1" t="e">
        <f>AND(Sheet1!B9,"AAAAADt6fSw=")</f>
        <v>#VALUE!</v>
      </c>
      <c r="AT1" t="e">
        <f>AND(Sheet1!C9,"AAAAADt6fS0=")</f>
        <v>#VALUE!</v>
      </c>
      <c r="AU1" t="e">
        <f>AND(Sheet1!D9,"AAAAADt6fS4=")</f>
        <v>#VALUE!</v>
      </c>
      <c r="AV1" t="e">
        <f>AND(Sheet1!E9,"AAAAADt6fS8=")</f>
        <v>#VALUE!</v>
      </c>
      <c r="AW1">
        <f>IF(Sheet1!10:10,"AAAAADt6fTA=",0)</f>
        <v>0</v>
      </c>
      <c r="AX1" t="e">
        <f>AND(Sheet1!A10,"AAAAADt6fTE=")</f>
        <v>#VALUE!</v>
      </c>
      <c r="AY1" t="e">
        <f>AND(Sheet1!B10,"AAAAADt6fTI=")</f>
        <v>#VALUE!</v>
      </c>
      <c r="AZ1" t="e">
        <f>AND(Sheet1!C10,"AAAAADt6fTM=")</f>
        <v>#VALUE!</v>
      </c>
      <c r="BA1" t="e">
        <f>AND(Sheet1!D10,"AAAAADt6fTQ=")</f>
        <v>#VALUE!</v>
      </c>
      <c r="BB1" t="e">
        <f>AND(Sheet1!E10,"AAAAADt6fTU=")</f>
        <v>#VALUE!</v>
      </c>
      <c r="BC1">
        <f>IF(Sheet1!11:11,"AAAAADt6fTY=",0)</f>
        <v>0</v>
      </c>
      <c r="BD1" t="e">
        <f>AND(Sheet1!A11,"AAAAADt6fTc=")</f>
        <v>#VALUE!</v>
      </c>
      <c r="BE1" t="e">
        <f>AND(Sheet1!B11,"AAAAADt6fTg=")</f>
        <v>#VALUE!</v>
      </c>
      <c r="BF1" t="e">
        <f>AND(Sheet1!C11,"AAAAADt6fTk=")</f>
        <v>#VALUE!</v>
      </c>
      <c r="BG1" t="e">
        <f>AND(Sheet1!D11,"AAAAADt6fTo=")</f>
        <v>#VALUE!</v>
      </c>
      <c r="BH1" t="e">
        <f>AND(Sheet1!E11,"AAAAADt6fTs=")</f>
        <v>#VALUE!</v>
      </c>
      <c r="BI1">
        <f>IF(Sheet1!12:12,"AAAAADt6fTw=",0)</f>
        <v>0</v>
      </c>
      <c r="BJ1" t="e">
        <f>AND(Sheet1!A12,"AAAAADt6fT0=")</f>
        <v>#VALUE!</v>
      </c>
      <c r="BK1" t="e">
        <f>AND(Sheet1!B12,"AAAAADt6fT4=")</f>
        <v>#VALUE!</v>
      </c>
      <c r="BL1" t="e">
        <f>AND(Sheet1!C12,"AAAAADt6fT8=")</f>
        <v>#VALUE!</v>
      </c>
      <c r="BM1" t="e">
        <f>AND(Sheet1!D12,"AAAAADt6fUA=")</f>
        <v>#VALUE!</v>
      </c>
      <c r="BN1" t="e">
        <f>AND(Sheet1!E12,"AAAAADt6fUE=")</f>
        <v>#VALUE!</v>
      </c>
      <c r="BO1">
        <f>IF(Sheet1!13:13,"AAAAADt6fUI=",0)</f>
        <v>0</v>
      </c>
      <c r="BP1" t="e">
        <f>AND(Sheet1!A13,"AAAAADt6fUM=")</f>
        <v>#VALUE!</v>
      </c>
      <c r="BQ1" t="e">
        <f>AND(Sheet1!B13,"AAAAADt6fUQ=")</f>
        <v>#VALUE!</v>
      </c>
      <c r="BR1" t="e">
        <f>AND(Sheet1!C13,"AAAAADt6fUU=")</f>
        <v>#VALUE!</v>
      </c>
      <c r="BS1" t="e">
        <f>AND(Sheet1!D13,"AAAAADt6fUY=")</f>
        <v>#VALUE!</v>
      </c>
      <c r="BT1" t="e">
        <f>AND(Sheet1!E13,"AAAAADt6fUc=")</f>
        <v>#VALUE!</v>
      </c>
      <c r="BU1">
        <f>IF(Sheet1!14:14,"AAAAADt6fUg=",0)</f>
        <v>0</v>
      </c>
      <c r="BV1" t="e">
        <f>AND(Sheet1!A14,"AAAAADt6fUk=")</f>
        <v>#VALUE!</v>
      </c>
      <c r="BW1" t="e">
        <f>AND(Sheet1!B14,"AAAAADt6fUo=")</f>
        <v>#VALUE!</v>
      </c>
      <c r="BX1" t="e">
        <f>AND(Sheet1!C14,"AAAAADt6fUs=")</f>
        <v>#VALUE!</v>
      </c>
      <c r="BY1" t="e">
        <f>AND(Sheet1!D14,"AAAAADt6fUw=")</f>
        <v>#VALUE!</v>
      </c>
      <c r="BZ1" t="e">
        <f>AND(Sheet1!E14,"AAAAADt6fU0=")</f>
        <v>#VALUE!</v>
      </c>
      <c r="CA1">
        <f>IF(Sheet1!15:15,"AAAAADt6fU4=",0)</f>
        <v>0</v>
      </c>
      <c r="CB1" t="e">
        <f>AND(Sheet1!A15,"AAAAADt6fU8=")</f>
        <v>#VALUE!</v>
      </c>
      <c r="CC1" t="e">
        <f>AND(Sheet1!B15,"AAAAADt6fVA=")</f>
        <v>#VALUE!</v>
      </c>
      <c r="CD1" t="e">
        <f>AND(Sheet1!C15,"AAAAADt6fVE=")</f>
        <v>#VALUE!</v>
      </c>
      <c r="CE1" t="e">
        <f>AND(Sheet1!D15,"AAAAADt6fVI=")</f>
        <v>#VALUE!</v>
      </c>
      <c r="CF1" t="e">
        <f>AND(Sheet1!E15,"AAAAADt6fVM=")</f>
        <v>#VALUE!</v>
      </c>
      <c r="CG1">
        <f>IF(Sheet1!16:16,"AAAAADt6fVQ=",0)</f>
        <v>0</v>
      </c>
      <c r="CH1" t="e">
        <f>AND(Sheet1!A16,"AAAAADt6fVU=")</f>
        <v>#VALUE!</v>
      </c>
      <c r="CI1" t="e">
        <f>AND(Sheet1!B16,"AAAAADt6fVY=")</f>
        <v>#VALUE!</v>
      </c>
      <c r="CJ1" t="e">
        <f>AND(Sheet1!C16,"AAAAADt6fVc=")</f>
        <v>#VALUE!</v>
      </c>
      <c r="CK1" t="e">
        <f>AND(Sheet1!D16,"AAAAADt6fVg=")</f>
        <v>#VALUE!</v>
      </c>
      <c r="CL1" t="e">
        <f>AND(Sheet1!E16,"AAAAADt6fVk=")</f>
        <v>#VALUE!</v>
      </c>
      <c r="CM1">
        <f>IF(Sheet1!17:17,"AAAAADt6fVo=",0)</f>
        <v>0</v>
      </c>
      <c r="CN1" t="e">
        <f>AND(Sheet1!A17,"AAAAADt6fVs=")</f>
        <v>#VALUE!</v>
      </c>
      <c r="CO1" t="e">
        <f>AND(Sheet1!B17,"AAAAADt6fVw=")</f>
        <v>#VALUE!</v>
      </c>
      <c r="CP1" t="e">
        <f>AND(Sheet1!C17,"AAAAADt6fV0=")</f>
        <v>#VALUE!</v>
      </c>
      <c r="CQ1" t="e">
        <f>AND(Sheet1!D17,"AAAAADt6fV4=")</f>
        <v>#VALUE!</v>
      </c>
      <c r="CR1" t="e">
        <f>AND(Sheet1!E17,"AAAAADt6fV8=")</f>
        <v>#VALUE!</v>
      </c>
      <c r="CS1">
        <f>IF(Sheet1!18:18,"AAAAADt6fWA=",0)</f>
        <v>0</v>
      </c>
      <c r="CT1" t="e">
        <f>AND(Sheet1!A18,"AAAAADt6fWE=")</f>
        <v>#VALUE!</v>
      </c>
      <c r="CU1" t="e">
        <f>AND(Sheet1!B18,"AAAAADt6fWI=")</f>
        <v>#VALUE!</v>
      </c>
      <c r="CV1" t="e">
        <f>AND(Sheet1!C18,"AAAAADt6fWM=")</f>
        <v>#VALUE!</v>
      </c>
      <c r="CW1" t="e">
        <f>AND(Sheet1!D18,"AAAAADt6fWQ=")</f>
        <v>#VALUE!</v>
      </c>
      <c r="CX1" t="e">
        <f>AND(Sheet1!E18,"AAAAADt6fWU=")</f>
        <v>#VALUE!</v>
      </c>
      <c r="CY1">
        <f>IF(Sheet1!19:19,"AAAAADt6fWY=",0)</f>
        <v>0</v>
      </c>
      <c r="CZ1" t="e">
        <f>AND(Sheet1!A19,"AAAAADt6fWc=")</f>
        <v>#VALUE!</v>
      </c>
      <c r="DA1" t="e">
        <f>AND(Sheet1!B19,"AAAAADt6fWg=")</f>
        <v>#VALUE!</v>
      </c>
      <c r="DB1" t="e">
        <f>AND(Sheet1!C19,"AAAAADt6fWk=")</f>
        <v>#VALUE!</v>
      </c>
      <c r="DC1" t="e">
        <f>AND(Sheet1!D19,"AAAAADt6fWo=")</f>
        <v>#VALUE!</v>
      </c>
      <c r="DD1" t="e">
        <f>AND(Sheet1!E19,"AAAAADt6fWs=")</f>
        <v>#VALUE!</v>
      </c>
      <c r="DE1">
        <f>IF(Sheet1!20:20,"AAAAADt6fWw=",0)</f>
        <v>0</v>
      </c>
      <c r="DF1" t="e">
        <f>AND(Sheet1!A20,"AAAAADt6fW0=")</f>
        <v>#VALUE!</v>
      </c>
      <c r="DG1" t="e">
        <f>AND(Sheet1!B20,"AAAAADt6fW4=")</f>
        <v>#VALUE!</v>
      </c>
      <c r="DH1" t="e">
        <f>AND(Sheet1!C20,"AAAAADt6fW8=")</f>
        <v>#VALUE!</v>
      </c>
      <c r="DI1" t="e">
        <f>AND(Sheet1!D20,"AAAAADt6fXA=")</f>
        <v>#VALUE!</v>
      </c>
      <c r="DJ1" t="e">
        <f>AND(Sheet1!E20,"AAAAADt6fXE=")</f>
        <v>#VALUE!</v>
      </c>
      <c r="DK1">
        <f>IF(Sheet1!21:21,"AAAAADt6fXI=",0)</f>
        <v>0</v>
      </c>
      <c r="DL1" t="e">
        <f>AND(Sheet1!A21,"AAAAADt6fXM=")</f>
        <v>#VALUE!</v>
      </c>
      <c r="DM1" t="e">
        <f>AND(Sheet1!B21,"AAAAADt6fXQ=")</f>
        <v>#VALUE!</v>
      </c>
      <c r="DN1" t="e">
        <f>AND(Sheet1!C21,"AAAAADt6fXU=")</f>
        <v>#VALUE!</v>
      </c>
      <c r="DO1" t="e">
        <f>AND(Sheet1!D21,"AAAAADt6fXY=")</f>
        <v>#VALUE!</v>
      </c>
      <c r="DP1" t="e">
        <f>AND(Sheet1!E21,"AAAAADt6fXc=")</f>
        <v>#VALUE!</v>
      </c>
      <c r="DQ1">
        <f>IF(Sheet1!22:22,"AAAAADt6fXg=",0)</f>
        <v>0</v>
      </c>
      <c r="DR1" t="e">
        <f>AND(Sheet1!A22,"AAAAADt6fXk=")</f>
        <v>#VALUE!</v>
      </c>
      <c r="DS1" t="e">
        <f>AND(Sheet1!B22,"AAAAADt6fXo=")</f>
        <v>#VALUE!</v>
      </c>
      <c r="DT1" t="e">
        <f>AND(Sheet1!C22,"AAAAADt6fXs=")</f>
        <v>#VALUE!</v>
      </c>
      <c r="DU1" t="e">
        <f>AND(Sheet1!D22,"AAAAADt6fXw=")</f>
        <v>#VALUE!</v>
      </c>
      <c r="DV1" t="e">
        <f>AND(Sheet1!E22,"AAAAADt6fX0=")</f>
        <v>#VALUE!</v>
      </c>
      <c r="DW1">
        <f>IF(Sheet1!23:23,"AAAAADt6fX4=",0)</f>
        <v>0</v>
      </c>
      <c r="DX1" t="e">
        <f>AND(Sheet1!A23,"AAAAADt6fX8=")</f>
        <v>#VALUE!</v>
      </c>
      <c r="DY1" t="e">
        <f>AND(Sheet1!B23,"AAAAADt6fYA=")</f>
        <v>#VALUE!</v>
      </c>
      <c r="DZ1" t="e">
        <f>AND(Sheet1!C23,"AAAAADt6fYE=")</f>
        <v>#VALUE!</v>
      </c>
      <c r="EA1" t="e">
        <f>AND(Sheet1!D23,"AAAAADt6fYI=")</f>
        <v>#VALUE!</v>
      </c>
      <c r="EB1" t="e">
        <f>AND(Sheet1!E23,"AAAAADt6fYM=")</f>
        <v>#VALUE!</v>
      </c>
      <c r="EC1">
        <f>IF(Sheet1!24:24,"AAAAADt6fYQ=",0)</f>
        <v>0</v>
      </c>
      <c r="ED1" t="e">
        <f>AND(Sheet1!A24,"AAAAADt6fYU=")</f>
        <v>#VALUE!</v>
      </c>
      <c r="EE1" t="e">
        <f>AND(Sheet1!B24,"AAAAADt6fYY=")</f>
        <v>#VALUE!</v>
      </c>
      <c r="EF1" t="e">
        <f>AND(Sheet1!C24,"AAAAADt6fYc=")</f>
        <v>#VALUE!</v>
      </c>
      <c r="EG1" t="e">
        <f>AND(Sheet1!D24,"AAAAADt6fYg=")</f>
        <v>#VALUE!</v>
      </c>
      <c r="EH1" t="e">
        <f>AND(Sheet1!E24,"AAAAADt6fYk=")</f>
        <v>#VALUE!</v>
      </c>
      <c r="EI1">
        <f>IF(Sheet1!25:25,"AAAAADt6fYo=",0)</f>
        <v>0</v>
      </c>
      <c r="EJ1" t="e">
        <f>AND(Sheet1!A25,"AAAAADt6fYs=")</f>
        <v>#VALUE!</v>
      </c>
      <c r="EK1" t="e">
        <f>AND(Sheet1!B25,"AAAAADt6fYw=")</f>
        <v>#VALUE!</v>
      </c>
      <c r="EL1" t="e">
        <f>AND(Sheet1!C25,"AAAAADt6fY0=")</f>
        <v>#VALUE!</v>
      </c>
      <c r="EM1" t="e">
        <f>AND(Sheet1!D25,"AAAAADt6fY4=")</f>
        <v>#VALUE!</v>
      </c>
      <c r="EN1" t="e">
        <f>AND(Sheet1!E25,"AAAAADt6fY8=")</f>
        <v>#VALUE!</v>
      </c>
      <c r="EO1">
        <f>IF(Sheet1!26:26,"AAAAADt6fZA=",0)</f>
        <v>0</v>
      </c>
      <c r="EP1" t="e">
        <f>AND(Sheet1!A26,"AAAAADt6fZE=")</f>
        <v>#VALUE!</v>
      </c>
      <c r="EQ1" t="e">
        <f>AND(Sheet1!B26,"AAAAADt6fZI=")</f>
        <v>#VALUE!</v>
      </c>
      <c r="ER1" t="e">
        <f>AND(Sheet1!C26,"AAAAADt6fZM=")</f>
        <v>#VALUE!</v>
      </c>
      <c r="ES1" t="e">
        <f>AND(Sheet1!D26,"AAAAADt6fZQ=")</f>
        <v>#VALUE!</v>
      </c>
      <c r="ET1" t="e">
        <f>AND(Sheet1!E26,"AAAAADt6fZU=")</f>
        <v>#VALUE!</v>
      </c>
      <c r="EU1">
        <f>IF(Sheet1!27:27,"AAAAADt6fZY=",0)</f>
        <v>0</v>
      </c>
      <c r="EV1" t="e">
        <f>AND(Sheet1!A27,"AAAAADt6fZc=")</f>
        <v>#VALUE!</v>
      </c>
      <c r="EW1" t="e">
        <f>AND(Sheet1!B27,"AAAAADt6fZg=")</f>
        <v>#VALUE!</v>
      </c>
      <c r="EX1" t="e">
        <f>AND(Sheet1!D27,"AAAAADt6fZk=")</f>
        <v>#VALUE!</v>
      </c>
      <c r="EY1" t="e">
        <f>AND(Sheet1!#REF!,"AAAAADt6fZo=")</f>
        <v>#REF!</v>
      </c>
      <c r="EZ1" t="e">
        <f>AND(Sheet1!E27,"AAAAADt6fZs=")</f>
        <v>#VALUE!</v>
      </c>
      <c r="FA1">
        <f>IF(Sheet1!28:28,"AAAAADt6fZw=",0)</f>
        <v>0</v>
      </c>
      <c r="FB1" t="e">
        <f>AND(Sheet1!A28,"AAAAADt6fZ0=")</f>
        <v>#VALUE!</v>
      </c>
      <c r="FC1" t="e">
        <f>AND(Sheet1!B28,"AAAAADt6fZ4=")</f>
        <v>#VALUE!</v>
      </c>
      <c r="FD1" t="e">
        <f>AND(Sheet1!C28,"AAAAADt6fZ8=")</f>
        <v>#VALUE!</v>
      </c>
      <c r="FE1" t="e">
        <f>AND(Sheet1!D28,"AAAAADt6faA=")</f>
        <v>#VALUE!</v>
      </c>
      <c r="FF1" t="e">
        <f>AND(Sheet1!E28,"AAAAADt6faE=")</f>
        <v>#VALUE!</v>
      </c>
      <c r="FG1">
        <f>IF(Sheet1!29:29,"AAAAADt6faI=",0)</f>
        <v>0</v>
      </c>
      <c r="FH1" t="e">
        <f>AND(Sheet1!A29,"AAAAADt6faM=")</f>
        <v>#VALUE!</v>
      </c>
      <c r="FI1" t="e">
        <f>AND(Sheet1!B29,"AAAAADt6faQ=")</f>
        <v>#VALUE!</v>
      </c>
      <c r="FJ1" t="e">
        <f>AND(Sheet1!C29,"AAAAADt6faU=")</f>
        <v>#VALUE!</v>
      </c>
      <c r="FK1" t="e">
        <f>AND(Sheet1!D29,"AAAAADt6faY=")</f>
        <v>#VALUE!</v>
      </c>
      <c r="FL1" t="e">
        <f>AND(Sheet1!E29,"AAAAADt6fac=")</f>
        <v>#VALUE!</v>
      </c>
      <c r="FM1">
        <f>IF(Sheet1!30:30,"AAAAADt6fag=",0)</f>
        <v>0</v>
      </c>
      <c r="FN1" t="e">
        <f>AND(Sheet1!A30,"AAAAADt6fak=")</f>
        <v>#VALUE!</v>
      </c>
      <c r="FO1" t="e">
        <f>AND(Sheet1!B30,"AAAAADt6fao=")</f>
        <v>#VALUE!</v>
      </c>
      <c r="FP1" t="e">
        <f>AND(Sheet1!C30,"AAAAADt6fas=")</f>
        <v>#VALUE!</v>
      </c>
      <c r="FQ1" t="e">
        <f>AND(Sheet1!D30,"AAAAADt6faw=")</f>
        <v>#VALUE!</v>
      </c>
      <c r="FR1" t="e">
        <f>AND(Sheet1!E30,"AAAAADt6fa0=")</f>
        <v>#VALUE!</v>
      </c>
      <c r="FS1">
        <f>IF(Sheet1!31:31,"AAAAADt6fa4=",0)</f>
        <v>0</v>
      </c>
      <c r="FT1" t="e">
        <f>AND(Sheet1!A31,"AAAAADt6fa8=")</f>
        <v>#VALUE!</v>
      </c>
      <c r="FU1" t="e">
        <f>AND(Sheet1!B31,"AAAAADt6fbA=")</f>
        <v>#VALUE!</v>
      </c>
      <c r="FV1" t="e">
        <f>AND(Sheet1!C31,"AAAAADt6fbE=")</f>
        <v>#VALUE!</v>
      </c>
      <c r="FW1" t="e">
        <f>AND(Sheet1!D31,"AAAAADt6fbI=")</f>
        <v>#VALUE!</v>
      </c>
      <c r="FX1" t="e">
        <f>AND(Sheet1!E31,"AAAAADt6fbM=")</f>
        <v>#VALUE!</v>
      </c>
      <c r="FY1">
        <f>IF(Sheet1!32:32,"AAAAADt6fbQ=",0)</f>
        <v>0</v>
      </c>
      <c r="FZ1" t="e">
        <f>AND(Sheet1!A32,"AAAAADt6fbU=")</f>
        <v>#VALUE!</v>
      </c>
      <c r="GA1" t="e">
        <f>AND(Sheet1!B32,"AAAAADt6fbY=")</f>
        <v>#VALUE!</v>
      </c>
      <c r="GB1" t="e">
        <f>AND(Sheet1!C32,"AAAAADt6fbc=")</f>
        <v>#VALUE!</v>
      </c>
      <c r="GC1" t="e">
        <f>AND(Sheet1!D32,"AAAAADt6fbg=")</f>
        <v>#VALUE!</v>
      </c>
      <c r="GD1" t="e">
        <f>AND(Sheet1!E32,"AAAAADt6fbk=")</f>
        <v>#VALUE!</v>
      </c>
      <c r="GE1">
        <f>IF(Sheet1!33:33,"AAAAADt6fbo=",0)</f>
        <v>0</v>
      </c>
      <c r="GF1" t="e">
        <f>AND(Sheet1!A33,"AAAAADt6fbs=")</f>
        <v>#VALUE!</v>
      </c>
      <c r="GG1" t="e">
        <f>AND(Sheet1!B33,"AAAAADt6fbw=")</f>
        <v>#VALUE!</v>
      </c>
      <c r="GH1" t="e">
        <f>AND(Sheet1!C33,"AAAAADt6fb0=")</f>
        <v>#VALUE!</v>
      </c>
      <c r="GI1" t="e">
        <f>AND(Sheet1!D33,"AAAAADt6fb4=")</f>
        <v>#VALUE!</v>
      </c>
      <c r="GJ1" t="e">
        <f>AND(Sheet1!E33,"AAAAADt6fb8=")</f>
        <v>#VALUE!</v>
      </c>
      <c r="GK1">
        <f>IF(Sheet1!34:34,"AAAAADt6fcA=",0)</f>
        <v>0</v>
      </c>
      <c r="GL1" t="e">
        <f>AND(Sheet1!A34,"AAAAADt6fcE=")</f>
        <v>#VALUE!</v>
      </c>
      <c r="GM1" t="e">
        <f>AND(Sheet1!B34,"AAAAADt6fcI=")</f>
        <v>#VALUE!</v>
      </c>
      <c r="GN1" t="e">
        <f>AND(Sheet1!C34,"AAAAADt6fcM=")</f>
        <v>#VALUE!</v>
      </c>
      <c r="GO1" t="e">
        <f>AND(Sheet1!D34,"AAAAADt6fcQ=")</f>
        <v>#VALUE!</v>
      </c>
      <c r="GP1" t="e">
        <f>AND(Sheet1!E34,"AAAAADt6fcU=")</f>
        <v>#VALUE!</v>
      </c>
      <c r="GQ1">
        <f>IF(Sheet1!35:35,"AAAAADt6fcY=",0)</f>
        <v>0</v>
      </c>
      <c r="GR1" t="e">
        <f>AND(Sheet1!A35,"AAAAADt6fcc=")</f>
        <v>#VALUE!</v>
      </c>
      <c r="GS1" t="e">
        <f>AND(Sheet1!B35,"AAAAADt6fcg=")</f>
        <v>#VALUE!</v>
      </c>
      <c r="GT1" t="e">
        <f>AND(Sheet1!C35,"AAAAADt6fck=")</f>
        <v>#VALUE!</v>
      </c>
      <c r="GU1" t="e">
        <f>AND(Sheet1!D35,"AAAAADt6fco=")</f>
        <v>#VALUE!</v>
      </c>
      <c r="GV1" t="e">
        <f>AND(Sheet1!E35,"AAAAADt6fcs=")</f>
        <v>#VALUE!</v>
      </c>
      <c r="GW1">
        <f>IF(Sheet1!36:36,"AAAAADt6fcw=",0)</f>
        <v>0</v>
      </c>
      <c r="GX1" t="e">
        <f>AND(Sheet1!A36,"AAAAADt6fc0=")</f>
        <v>#VALUE!</v>
      </c>
      <c r="GY1" t="e">
        <f>AND(Sheet1!B36,"AAAAADt6fc4=")</f>
        <v>#VALUE!</v>
      </c>
      <c r="GZ1" t="e">
        <f>AND(Sheet1!C36,"AAAAADt6fc8=")</f>
        <v>#VALUE!</v>
      </c>
      <c r="HA1" t="e">
        <f>AND(Sheet1!D36,"AAAAADt6fdA=")</f>
        <v>#VALUE!</v>
      </c>
      <c r="HB1" t="e">
        <f>AND(Sheet1!E36,"AAAAADt6fdE=")</f>
        <v>#VALUE!</v>
      </c>
      <c r="HC1">
        <f>IF(Sheet1!37:37,"AAAAADt6fdI=",0)</f>
        <v>0</v>
      </c>
      <c r="HD1" t="e">
        <f>AND(Sheet1!A37,"AAAAADt6fdM=")</f>
        <v>#VALUE!</v>
      </c>
      <c r="HE1" t="e">
        <f>AND(Sheet1!B37,"AAAAADt6fdQ=")</f>
        <v>#VALUE!</v>
      </c>
      <c r="HF1" t="e">
        <f>AND(Sheet1!C37,"AAAAADt6fdU=")</f>
        <v>#VALUE!</v>
      </c>
      <c r="HG1" t="e">
        <f>AND(Sheet1!D37,"AAAAADt6fdY=")</f>
        <v>#VALUE!</v>
      </c>
      <c r="HH1" t="e">
        <f>AND(Sheet1!E37,"AAAAADt6fdc=")</f>
        <v>#VALUE!</v>
      </c>
      <c r="HI1">
        <f>IF(Sheet1!38:38,"AAAAADt6fdg=",0)</f>
        <v>0</v>
      </c>
      <c r="HJ1" t="e">
        <f>AND(Sheet1!A38,"AAAAADt6fdk=")</f>
        <v>#VALUE!</v>
      </c>
      <c r="HK1" t="e">
        <f>AND(Sheet1!B38,"AAAAADt6fdo=")</f>
        <v>#VALUE!</v>
      </c>
      <c r="HL1" t="e">
        <f>AND(Sheet1!C38,"AAAAADt6fds=")</f>
        <v>#VALUE!</v>
      </c>
      <c r="HM1" t="e">
        <f>AND(Sheet1!D38,"AAAAADt6fdw=")</f>
        <v>#VALUE!</v>
      </c>
      <c r="HN1" t="e">
        <f>AND(Sheet1!E38,"AAAAADt6fd0=")</f>
        <v>#VALUE!</v>
      </c>
      <c r="HO1">
        <f>IF(Sheet1!39:39,"AAAAADt6fd4=",0)</f>
        <v>0</v>
      </c>
      <c r="HP1" t="e">
        <f>AND(Sheet1!A39,"AAAAADt6fd8=")</f>
        <v>#VALUE!</v>
      </c>
      <c r="HQ1" t="e">
        <f>AND(Sheet1!B39,"AAAAADt6feA=")</f>
        <v>#VALUE!</v>
      </c>
      <c r="HR1" t="e">
        <f>AND(Sheet1!C39,"AAAAADt6feE=")</f>
        <v>#VALUE!</v>
      </c>
      <c r="HS1" t="e">
        <f>AND(Sheet1!D39,"AAAAADt6feI=")</f>
        <v>#VALUE!</v>
      </c>
      <c r="HT1" t="e">
        <f>AND(Sheet1!E39,"AAAAADt6feM=")</f>
        <v>#VALUE!</v>
      </c>
      <c r="HU1">
        <f>IF(Sheet1!40:40,"AAAAADt6feQ=",0)</f>
        <v>0</v>
      </c>
      <c r="HV1" t="e">
        <f>AND(Sheet1!A40,"AAAAADt6feU=")</f>
        <v>#VALUE!</v>
      </c>
      <c r="HW1" t="e">
        <f>AND(Sheet1!B40,"AAAAADt6feY=")</f>
        <v>#VALUE!</v>
      </c>
      <c r="HX1" t="e">
        <f>AND(Sheet1!C40,"AAAAADt6fec=")</f>
        <v>#VALUE!</v>
      </c>
      <c r="HY1" t="e">
        <f>AND(Sheet1!D40,"AAAAADt6feg=")</f>
        <v>#VALUE!</v>
      </c>
      <c r="HZ1" t="e">
        <f>AND(Sheet1!E40,"AAAAADt6fek=")</f>
        <v>#VALUE!</v>
      </c>
      <c r="IA1">
        <f>IF(Sheet1!41:41,"AAAAADt6feo=",0)</f>
        <v>0</v>
      </c>
      <c r="IB1" t="e">
        <f>AND(Sheet1!A41,"AAAAADt6fes=")</f>
        <v>#VALUE!</v>
      </c>
      <c r="IC1" t="e">
        <f>AND(Sheet1!B41,"AAAAADt6few=")</f>
        <v>#VALUE!</v>
      </c>
      <c r="ID1" t="e">
        <f>AND(Sheet1!C41,"AAAAADt6fe0=")</f>
        <v>#VALUE!</v>
      </c>
      <c r="IE1" t="e">
        <f>AND(Sheet1!D41,"AAAAADt6fe4=")</f>
        <v>#VALUE!</v>
      </c>
      <c r="IF1" t="e">
        <f>AND(Sheet1!E41,"AAAAADt6fe8=")</f>
        <v>#VALUE!</v>
      </c>
      <c r="IG1">
        <f>IF(Sheet1!42:42,"AAAAADt6ffA=",0)</f>
        <v>0</v>
      </c>
      <c r="IH1" t="e">
        <f>AND(Sheet1!A42,"AAAAADt6ffE=")</f>
        <v>#VALUE!</v>
      </c>
      <c r="II1" t="e">
        <f>AND(Sheet1!B42,"AAAAADt6ffI=")</f>
        <v>#VALUE!</v>
      </c>
      <c r="IJ1" t="e">
        <f>AND(Sheet1!C42,"AAAAADt6ffM=")</f>
        <v>#VALUE!</v>
      </c>
      <c r="IK1" t="e">
        <f>AND(Sheet1!D42,"AAAAADt6ffQ=")</f>
        <v>#VALUE!</v>
      </c>
      <c r="IL1" t="e">
        <f>AND(Sheet1!E42,"AAAAADt6ffU=")</f>
        <v>#VALUE!</v>
      </c>
      <c r="IM1">
        <f>IF(Sheet1!43:43,"AAAAADt6ffY=",0)</f>
        <v>0</v>
      </c>
      <c r="IN1" t="e">
        <f>AND(Sheet1!A43,"AAAAADt6ffc=")</f>
        <v>#VALUE!</v>
      </c>
      <c r="IO1" t="e">
        <f>AND(Sheet1!B43,"AAAAADt6ffg=")</f>
        <v>#VALUE!</v>
      </c>
      <c r="IP1" t="e">
        <f>AND(Sheet1!C43,"AAAAADt6ffk=")</f>
        <v>#VALUE!</v>
      </c>
      <c r="IQ1" t="e">
        <f>AND(Sheet1!D43,"AAAAADt6ffo=")</f>
        <v>#VALUE!</v>
      </c>
      <c r="IR1" t="e">
        <f>AND(Sheet1!E43,"AAAAADt6ffs=")</f>
        <v>#VALUE!</v>
      </c>
      <c r="IS1">
        <f>IF(Sheet1!44:44,"AAAAADt6ffw=",0)</f>
        <v>0</v>
      </c>
      <c r="IT1" t="e">
        <f>AND(Sheet1!A44,"AAAAADt6ff0=")</f>
        <v>#VALUE!</v>
      </c>
      <c r="IU1" t="e">
        <f>AND(Sheet1!B44,"AAAAADt6ff4=")</f>
        <v>#VALUE!</v>
      </c>
      <c r="IV1" t="e">
        <f>AND(Sheet1!C44,"AAAAADt6ff8=")</f>
        <v>#VALUE!</v>
      </c>
    </row>
    <row r="2" spans="1:176" ht="15">
      <c r="A2" t="e">
        <f>AND(Sheet1!D44,"AAAAAFlspwA=")</f>
        <v>#VALUE!</v>
      </c>
      <c r="B2" t="e">
        <f>AND(Sheet1!E44,"AAAAAFlspwE=")</f>
        <v>#VALUE!</v>
      </c>
      <c r="C2" t="e">
        <f>IF(Sheet1!45:45,"AAAAAFlspwI=",0)</f>
        <v>#VALUE!</v>
      </c>
      <c r="D2" t="e">
        <f>AND(Sheet1!A45,"AAAAAFlspwM=")</f>
        <v>#VALUE!</v>
      </c>
      <c r="E2" t="e">
        <f>AND(Sheet1!B45,"AAAAAFlspwQ=")</f>
        <v>#VALUE!</v>
      </c>
      <c r="F2" t="e">
        <f>AND(Sheet1!C45,"AAAAAFlspwU=")</f>
        <v>#VALUE!</v>
      </c>
      <c r="G2" t="e">
        <f>AND(Sheet1!D45,"AAAAAFlspwY=")</f>
        <v>#VALUE!</v>
      </c>
      <c r="H2" t="e">
        <f>AND(Sheet1!E45,"AAAAAFlspwc=")</f>
        <v>#VALUE!</v>
      </c>
      <c r="I2">
        <f>IF(Sheet1!46:46,"AAAAAFlspwg=",0)</f>
        <v>0</v>
      </c>
      <c r="J2" t="e">
        <f>AND(Sheet1!A46,"AAAAAFlspwk=")</f>
        <v>#VALUE!</v>
      </c>
      <c r="K2" t="e">
        <f>AND(Sheet1!B46,"AAAAAFlspwo=")</f>
        <v>#VALUE!</v>
      </c>
      <c r="L2" t="e">
        <f>AND(Sheet1!C46,"AAAAAFlspws=")</f>
        <v>#VALUE!</v>
      </c>
      <c r="M2" t="e">
        <f>AND(Sheet1!D46,"AAAAAFlspww=")</f>
        <v>#VALUE!</v>
      </c>
      <c r="N2" t="e">
        <f>AND(Sheet1!E46,"AAAAAFlspw0=")</f>
        <v>#VALUE!</v>
      </c>
      <c r="O2">
        <f>IF(Sheet1!47:47,"AAAAAFlspw4=",0)</f>
        <v>0</v>
      </c>
      <c r="P2" t="e">
        <f>AND(Sheet1!A47,"AAAAAFlspw8=")</f>
        <v>#VALUE!</v>
      </c>
      <c r="Q2" t="e">
        <f>AND(Sheet1!B47,"AAAAAFlspxA=")</f>
        <v>#VALUE!</v>
      </c>
      <c r="R2" t="e">
        <f>AND(Sheet1!C47,"AAAAAFlspxE=")</f>
        <v>#VALUE!</v>
      </c>
      <c r="S2" t="e">
        <f>AND(Sheet1!D47,"AAAAAFlspxI=")</f>
        <v>#VALUE!</v>
      </c>
      <c r="T2" t="e">
        <f>AND(Sheet1!E47,"AAAAAFlspxM=")</f>
        <v>#VALUE!</v>
      </c>
      <c r="U2">
        <f>IF(Sheet1!48:48,"AAAAAFlspxQ=",0)</f>
        <v>0</v>
      </c>
      <c r="V2" t="e">
        <f>AND(Sheet1!A48,"AAAAAFlspxU=")</f>
        <v>#VALUE!</v>
      </c>
      <c r="W2" t="e">
        <f>AND(Sheet1!B48,"AAAAAFlspxY=")</f>
        <v>#VALUE!</v>
      </c>
      <c r="X2" t="e">
        <f>AND(Sheet1!C48,"AAAAAFlspxc=")</f>
        <v>#VALUE!</v>
      </c>
      <c r="Y2" t="e">
        <f>AND(Sheet1!D48,"AAAAAFlspxg=")</f>
        <v>#VALUE!</v>
      </c>
      <c r="Z2" t="e">
        <f>AND(Sheet1!E48,"AAAAAFlspxk=")</f>
        <v>#VALUE!</v>
      </c>
      <c r="AA2">
        <f>IF(Sheet1!49:49,"AAAAAFlspxo=",0)</f>
        <v>0</v>
      </c>
      <c r="AB2" t="e">
        <f>AND(Sheet1!A49,"AAAAAFlspxs=")</f>
        <v>#VALUE!</v>
      </c>
      <c r="AC2" t="e">
        <f>AND(Sheet1!B49,"AAAAAFlspxw=")</f>
        <v>#VALUE!</v>
      </c>
      <c r="AD2" t="e">
        <f>AND(Sheet1!C49,"AAAAAFlspx0=")</f>
        <v>#VALUE!</v>
      </c>
      <c r="AE2" t="e">
        <f>AND(Sheet1!D49,"AAAAAFlspx4=")</f>
        <v>#VALUE!</v>
      </c>
      <c r="AF2" t="e">
        <f>AND(Sheet1!E49,"AAAAAFlspx8=")</f>
        <v>#VALUE!</v>
      </c>
      <c r="AG2">
        <f>IF(Sheet1!50:50,"AAAAAFlspyA=",0)</f>
        <v>0</v>
      </c>
      <c r="AH2" t="e">
        <f>AND(Sheet1!A50,"AAAAAFlspyE=")</f>
        <v>#VALUE!</v>
      </c>
      <c r="AI2" t="e">
        <f>AND(Sheet1!B50,"AAAAAFlspyI=")</f>
        <v>#VALUE!</v>
      </c>
      <c r="AJ2" t="e">
        <f>AND(Sheet1!C50,"AAAAAFlspyM=")</f>
        <v>#VALUE!</v>
      </c>
      <c r="AK2" t="e">
        <f>AND(Sheet1!D50,"AAAAAFlspyQ=")</f>
        <v>#VALUE!</v>
      </c>
      <c r="AL2" t="e">
        <f>AND(Sheet1!E50,"AAAAAFlspyU=")</f>
        <v>#VALUE!</v>
      </c>
      <c r="AM2">
        <f>IF(Sheet1!51:51,"AAAAAFlspyY=",0)</f>
        <v>0</v>
      </c>
      <c r="AN2" t="e">
        <f>AND(Sheet1!A51,"AAAAAFlspyc=")</f>
        <v>#VALUE!</v>
      </c>
      <c r="AO2" t="e">
        <f>AND(Sheet1!B51,"AAAAAFlspyg=")</f>
        <v>#VALUE!</v>
      </c>
      <c r="AP2" t="e">
        <f>AND(Sheet1!C51,"AAAAAFlspyk=")</f>
        <v>#VALUE!</v>
      </c>
      <c r="AQ2" t="e">
        <f>AND(Sheet1!D51,"AAAAAFlspyo=")</f>
        <v>#VALUE!</v>
      </c>
      <c r="AR2" t="e">
        <f>AND(Sheet1!E51,"AAAAAFlspys=")</f>
        <v>#VALUE!</v>
      </c>
      <c r="AS2">
        <f>IF(Sheet1!52:52,"AAAAAFlspyw=",0)</f>
        <v>0</v>
      </c>
      <c r="AT2" t="e">
        <f>AND(Sheet1!A52,"AAAAAFlspy0=")</f>
        <v>#VALUE!</v>
      </c>
      <c r="AU2" t="e">
        <f>AND(Sheet1!B52,"AAAAAFlspy4=")</f>
        <v>#VALUE!</v>
      </c>
      <c r="AV2" t="e">
        <f>AND(Sheet1!C52,"AAAAAFlspy8=")</f>
        <v>#VALUE!</v>
      </c>
      <c r="AW2" t="e">
        <f>AND(Sheet1!D52,"AAAAAFlspzA=")</f>
        <v>#VALUE!</v>
      </c>
      <c r="AX2" t="e">
        <f>AND(Sheet1!E52,"AAAAAFlspzE=")</f>
        <v>#VALUE!</v>
      </c>
      <c r="AY2">
        <f>IF(Sheet1!53:53,"AAAAAFlspzI=",0)</f>
        <v>0</v>
      </c>
      <c r="AZ2" t="e">
        <f>AND(Sheet1!A53,"AAAAAFlspzM=")</f>
        <v>#VALUE!</v>
      </c>
      <c r="BA2" t="e">
        <f>AND(Sheet1!B53,"AAAAAFlspzQ=")</f>
        <v>#VALUE!</v>
      </c>
      <c r="BB2" t="e">
        <f>AND(Sheet1!C53,"AAAAAFlspzU=")</f>
        <v>#VALUE!</v>
      </c>
      <c r="BC2" t="e">
        <f>AND(Sheet1!D53,"AAAAAFlspzY=")</f>
        <v>#VALUE!</v>
      </c>
      <c r="BD2" t="e">
        <f>AND(Sheet1!E53,"AAAAAFlspzc=")</f>
        <v>#VALUE!</v>
      </c>
      <c r="BE2">
        <f>IF(Sheet1!54:54,"AAAAAFlspzg=",0)</f>
        <v>0</v>
      </c>
      <c r="BF2" t="e">
        <f>AND(Sheet1!A54,"AAAAAFlspzk=")</f>
        <v>#VALUE!</v>
      </c>
      <c r="BG2" t="e">
        <f>AND(Sheet1!B54,"AAAAAFlspzo=")</f>
        <v>#VALUE!</v>
      </c>
      <c r="BH2" t="e">
        <f>AND(Sheet1!C54,"AAAAAFlspzs=")</f>
        <v>#VALUE!</v>
      </c>
      <c r="BI2" t="e">
        <f>AND(Sheet1!D54,"AAAAAFlspzw=")</f>
        <v>#VALUE!</v>
      </c>
      <c r="BJ2" t="e">
        <f>AND(Sheet1!E54,"AAAAAFlspz0=")</f>
        <v>#VALUE!</v>
      </c>
      <c r="BK2">
        <f>IF(Sheet1!55:55,"AAAAAFlspz4=",0)</f>
        <v>0</v>
      </c>
      <c r="BL2" t="e">
        <f>AND(Sheet1!A55,"AAAAAFlspz8=")</f>
        <v>#VALUE!</v>
      </c>
      <c r="BM2" t="e">
        <f>AND(Sheet1!B55,"AAAAAFlsp0A=")</f>
        <v>#VALUE!</v>
      </c>
      <c r="BN2" t="e">
        <f>AND(Sheet1!C55,"AAAAAFlsp0E=")</f>
        <v>#VALUE!</v>
      </c>
      <c r="BO2" t="e">
        <f>AND(Sheet1!D55,"AAAAAFlsp0I=")</f>
        <v>#VALUE!</v>
      </c>
      <c r="BP2" t="e">
        <f>AND(Sheet1!E55,"AAAAAFlsp0M=")</f>
        <v>#VALUE!</v>
      </c>
      <c r="BQ2">
        <f>IF(Sheet1!56:56,"AAAAAFlsp0Q=",0)</f>
        <v>0</v>
      </c>
      <c r="BR2" t="e">
        <f>AND(Sheet1!A56,"AAAAAFlsp0U=")</f>
        <v>#VALUE!</v>
      </c>
      <c r="BS2" t="e">
        <f>AND(Sheet1!B56,"AAAAAFlsp0Y=")</f>
        <v>#VALUE!</v>
      </c>
      <c r="BT2" t="e">
        <f>AND(Sheet1!C56,"AAAAAFlsp0c=")</f>
        <v>#VALUE!</v>
      </c>
      <c r="BU2" t="e">
        <f>AND(Sheet1!D56,"AAAAAFlsp0g=")</f>
        <v>#VALUE!</v>
      </c>
      <c r="BV2" t="e">
        <f>AND(Sheet1!E56,"AAAAAFlsp0k=")</f>
        <v>#VALUE!</v>
      </c>
      <c r="BW2">
        <f>IF(Sheet1!57:57,"AAAAAFlsp0o=",0)</f>
        <v>0</v>
      </c>
      <c r="BX2" t="e">
        <f>AND(Sheet1!A57,"AAAAAFlsp0s=")</f>
        <v>#VALUE!</v>
      </c>
      <c r="BY2" t="e">
        <f>AND(Sheet1!B57,"AAAAAFlsp0w=")</f>
        <v>#VALUE!</v>
      </c>
      <c r="BZ2" t="e">
        <f>AND(Sheet1!C57,"AAAAAFlsp00=")</f>
        <v>#VALUE!</v>
      </c>
      <c r="CA2" t="e">
        <f>AND(Sheet1!D57,"AAAAAFlsp04=")</f>
        <v>#VALUE!</v>
      </c>
      <c r="CB2" t="e">
        <f>AND(Sheet1!E57,"AAAAAFlsp08=")</f>
        <v>#VALUE!</v>
      </c>
      <c r="CC2">
        <f>IF(Sheet1!58:58,"AAAAAFlsp1A=",0)</f>
        <v>0</v>
      </c>
      <c r="CD2" t="e">
        <f>AND(Sheet1!A58,"AAAAAFlsp1E=")</f>
        <v>#VALUE!</v>
      </c>
      <c r="CE2" t="e">
        <f>AND(Sheet1!B58,"AAAAAFlsp1I=")</f>
        <v>#VALUE!</v>
      </c>
      <c r="CF2" t="e">
        <f>AND(Sheet1!C58,"AAAAAFlsp1M=")</f>
        <v>#VALUE!</v>
      </c>
      <c r="CG2" t="e">
        <f>AND(Sheet1!D58,"AAAAAFlsp1Q=")</f>
        <v>#VALUE!</v>
      </c>
      <c r="CH2" t="e">
        <f>AND(Sheet1!E58,"AAAAAFlsp1U=")</f>
        <v>#VALUE!</v>
      </c>
      <c r="CI2">
        <f>IF(Sheet1!59:59,"AAAAAFlsp1Y=",0)</f>
        <v>0</v>
      </c>
      <c r="CJ2" t="e">
        <f>AND(Sheet1!A59,"AAAAAFlsp1c=")</f>
        <v>#VALUE!</v>
      </c>
      <c r="CK2" t="e">
        <f>AND(Sheet1!B59,"AAAAAFlsp1g=")</f>
        <v>#VALUE!</v>
      </c>
      <c r="CL2" t="e">
        <f>AND(Sheet1!C59,"AAAAAFlsp1k=")</f>
        <v>#VALUE!</v>
      </c>
      <c r="CM2" t="e">
        <f>AND(Sheet1!D59,"AAAAAFlsp1o=")</f>
        <v>#VALUE!</v>
      </c>
      <c r="CN2" t="e">
        <f>AND(Sheet1!E59,"AAAAAFlsp1s=")</f>
        <v>#VALUE!</v>
      </c>
      <c r="CO2">
        <f>IF(Sheet1!60:60,"AAAAAFlsp1w=",0)</f>
        <v>0</v>
      </c>
      <c r="CP2" t="e">
        <f>AND(Sheet1!A60,"AAAAAFlsp10=")</f>
        <v>#VALUE!</v>
      </c>
      <c r="CQ2" t="e">
        <f>AND(Sheet1!B60,"AAAAAFlsp14=")</f>
        <v>#VALUE!</v>
      </c>
      <c r="CR2" t="e">
        <f>AND(Sheet1!C60,"AAAAAFlsp18=")</f>
        <v>#VALUE!</v>
      </c>
      <c r="CS2" t="e">
        <f>AND(Sheet1!D60,"AAAAAFlsp2A=")</f>
        <v>#VALUE!</v>
      </c>
      <c r="CT2" t="e">
        <f>AND(Sheet1!E60,"AAAAAFlsp2E=")</f>
        <v>#VALUE!</v>
      </c>
      <c r="CU2">
        <f>IF(Sheet1!61:61,"AAAAAFlsp2I=",0)</f>
        <v>0</v>
      </c>
      <c r="CV2" t="e">
        <f>AND(Sheet1!A61,"AAAAAFlsp2M=")</f>
        <v>#VALUE!</v>
      </c>
      <c r="CW2" t="e">
        <f>AND(Sheet1!B61,"AAAAAFlsp2Q=")</f>
        <v>#VALUE!</v>
      </c>
      <c r="CX2" t="e">
        <f>AND(Sheet1!C61,"AAAAAFlsp2U=")</f>
        <v>#VALUE!</v>
      </c>
      <c r="CY2" t="e">
        <f>AND(Sheet1!D61,"AAAAAFlsp2Y=")</f>
        <v>#VALUE!</v>
      </c>
      <c r="CZ2" t="e">
        <f>AND(Sheet1!E61,"AAAAAFlsp2c=")</f>
        <v>#VALUE!</v>
      </c>
      <c r="DA2">
        <f>IF(Sheet1!62:62,"AAAAAFlsp2g=",0)</f>
        <v>0</v>
      </c>
      <c r="DB2" t="e">
        <f>AND(Sheet1!A62,"AAAAAFlsp2k=")</f>
        <v>#VALUE!</v>
      </c>
      <c r="DC2" t="e">
        <f>AND(Sheet1!B62,"AAAAAFlsp2o=")</f>
        <v>#VALUE!</v>
      </c>
      <c r="DD2" t="e">
        <f>AND(Sheet1!C62,"AAAAAFlsp2s=")</f>
        <v>#VALUE!</v>
      </c>
      <c r="DE2" t="e">
        <f>AND(Sheet1!D62,"AAAAAFlsp2w=")</f>
        <v>#VALUE!</v>
      </c>
      <c r="DF2" t="e">
        <f>AND(Sheet1!E62,"AAAAAFlsp20=")</f>
        <v>#VALUE!</v>
      </c>
      <c r="DG2">
        <f>IF(Sheet1!63:63,"AAAAAFlsp24=",0)</f>
        <v>0</v>
      </c>
      <c r="DH2" t="e">
        <f>AND(Sheet1!A63,"AAAAAFlsp28=")</f>
        <v>#VALUE!</v>
      </c>
      <c r="DI2" t="e">
        <f>AND(Sheet1!B63,"AAAAAFlsp3A=")</f>
        <v>#VALUE!</v>
      </c>
      <c r="DJ2" t="e">
        <f>AND(Sheet1!C63,"AAAAAFlsp3E=")</f>
        <v>#VALUE!</v>
      </c>
      <c r="DK2" t="e">
        <f>AND(Sheet1!D63,"AAAAAFlsp3I=")</f>
        <v>#VALUE!</v>
      </c>
      <c r="DL2" t="e">
        <f>AND(Sheet1!E63,"AAAAAFlsp3M=")</f>
        <v>#VALUE!</v>
      </c>
      <c r="DM2">
        <f>IF(Sheet1!64:64,"AAAAAFlsp3Q=",0)</f>
        <v>0</v>
      </c>
      <c r="DN2" t="e">
        <f>AND(Sheet1!A64,"AAAAAFlsp3U=")</f>
        <v>#VALUE!</v>
      </c>
      <c r="DO2" t="e">
        <f>AND(Sheet1!B64,"AAAAAFlsp3Y=")</f>
        <v>#VALUE!</v>
      </c>
      <c r="DP2" t="e">
        <f>AND(Sheet1!C64,"AAAAAFlsp3c=")</f>
        <v>#VALUE!</v>
      </c>
      <c r="DQ2" t="e">
        <f>AND(Sheet1!D64,"AAAAAFlsp3g=")</f>
        <v>#VALUE!</v>
      </c>
      <c r="DR2" t="e">
        <f>AND(Sheet1!E64,"AAAAAFlsp3k=")</f>
        <v>#VALUE!</v>
      </c>
      <c r="DS2">
        <f>IF(Sheet1!65:65,"AAAAAFlsp3o=",0)</f>
        <v>0</v>
      </c>
      <c r="DT2" t="e">
        <f>AND(Sheet1!A65,"AAAAAFlsp3s=")</f>
        <v>#VALUE!</v>
      </c>
      <c r="DU2" t="e">
        <f>AND(Sheet1!B65,"AAAAAFlsp3w=")</f>
        <v>#VALUE!</v>
      </c>
      <c r="DV2" t="e">
        <f>AND(Sheet1!C65,"AAAAAFlsp30=")</f>
        <v>#VALUE!</v>
      </c>
      <c r="DW2" t="e">
        <f>AND(Sheet1!D65,"AAAAAFlsp34=")</f>
        <v>#VALUE!</v>
      </c>
      <c r="DX2" t="e">
        <f>AND(Sheet1!E65,"AAAAAFlsp38=")</f>
        <v>#VALUE!</v>
      </c>
      <c r="DY2">
        <f>IF(Sheet1!66:66,"AAAAAFlsp4A=",0)</f>
        <v>0</v>
      </c>
      <c r="DZ2" t="e">
        <f>AND(Sheet1!A66,"AAAAAFlsp4E=")</f>
        <v>#VALUE!</v>
      </c>
      <c r="EA2" t="e">
        <f>AND(Sheet1!B66,"AAAAAFlsp4I=")</f>
        <v>#VALUE!</v>
      </c>
      <c r="EB2" t="e">
        <f>AND(Sheet1!C66,"AAAAAFlsp4M=")</f>
        <v>#VALUE!</v>
      </c>
      <c r="EC2" t="e">
        <f>AND(Sheet1!D66,"AAAAAFlsp4Q=")</f>
        <v>#VALUE!</v>
      </c>
      <c r="ED2" t="e">
        <f>AND(Sheet1!E66,"AAAAAFlsp4U=")</f>
        <v>#VALUE!</v>
      </c>
      <c r="EE2">
        <f>IF(Sheet1!67:67,"AAAAAFlsp4Y=",0)</f>
        <v>0</v>
      </c>
      <c r="EF2" t="e">
        <f>AND(Sheet1!A67,"AAAAAFlsp4c=")</f>
        <v>#VALUE!</v>
      </c>
      <c r="EG2" t="e">
        <f>AND(Sheet1!B67,"AAAAAFlsp4g=")</f>
        <v>#VALUE!</v>
      </c>
      <c r="EH2" t="e">
        <f>AND(Sheet1!C67,"AAAAAFlsp4k=")</f>
        <v>#VALUE!</v>
      </c>
      <c r="EI2" t="e">
        <f>AND(Sheet1!D67,"AAAAAFlsp4o=")</f>
        <v>#VALUE!</v>
      </c>
      <c r="EJ2" t="e">
        <f>AND(Sheet1!E67,"AAAAAFlsp4s=")</f>
        <v>#VALUE!</v>
      </c>
      <c r="EK2">
        <f>IF(Sheet1!68:68,"AAAAAFlsp4w=",0)</f>
        <v>0</v>
      </c>
      <c r="EL2" t="e">
        <f>AND(Sheet1!A68,"AAAAAFlsp40=")</f>
        <v>#VALUE!</v>
      </c>
      <c r="EM2" t="e">
        <f>AND(Sheet1!B68,"AAAAAFlsp44=")</f>
        <v>#VALUE!</v>
      </c>
      <c r="EN2" t="e">
        <f>AND(Sheet1!C68,"AAAAAFlsp48=")</f>
        <v>#VALUE!</v>
      </c>
      <c r="EO2" t="e">
        <f>AND(Sheet1!D68,"AAAAAFlsp5A=")</f>
        <v>#VALUE!</v>
      </c>
      <c r="EP2" t="e">
        <f>AND(Sheet1!E68,"AAAAAFlsp5E=")</f>
        <v>#VALUE!</v>
      </c>
      <c r="EQ2">
        <f>IF(Sheet1!69:69,"AAAAAFlsp5I=",0)</f>
        <v>0</v>
      </c>
      <c r="ER2" t="e">
        <f>AND(Sheet1!A69,"AAAAAFlsp5M=")</f>
        <v>#VALUE!</v>
      </c>
      <c r="ES2" t="e">
        <f>AND(Sheet1!B69,"AAAAAFlsp5Q=")</f>
        <v>#VALUE!</v>
      </c>
      <c r="ET2" t="e">
        <f>AND(Sheet1!C69,"AAAAAFlsp5U=")</f>
        <v>#VALUE!</v>
      </c>
      <c r="EU2" t="e">
        <f>AND(Sheet1!D69,"AAAAAFlsp5Y=")</f>
        <v>#VALUE!</v>
      </c>
      <c r="EV2" t="e">
        <f>AND(Sheet1!E69,"AAAAAFlsp5c=")</f>
        <v>#VALUE!</v>
      </c>
      <c r="EW2">
        <f>IF(Sheet1!70:70,"AAAAAFlsp5g=",0)</f>
        <v>0</v>
      </c>
      <c r="EX2" t="e">
        <f>AND(Sheet1!A70,"AAAAAFlsp5k=")</f>
        <v>#VALUE!</v>
      </c>
      <c r="EY2" t="e">
        <f>AND(Sheet1!B70,"AAAAAFlsp5o=")</f>
        <v>#VALUE!</v>
      </c>
      <c r="EZ2" t="e">
        <f>AND(Sheet1!C70,"AAAAAFlsp5s=")</f>
        <v>#VALUE!</v>
      </c>
      <c r="FA2" t="e">
        <f>AND(Sheet1!D70,"AAAAAFlsp5w=")</f>
        <v>#VALUE!</v>
      </c>
      <c r="FB2" t="e">
        <f>AND(Sheet1!E70,"AAAAAFlsp50=")</f>
        <v>#VALUE!</v>
      </c>
      <c r="FC2">
        <f>IF(Sheet1!71:71,"AAAAAFlsp54=",0)</f>
        <v>0</v>
      </c>
      <c r="FD2" t="e">
        <f>AND(Sheet1!A71,"AAAAAFlsp58=")</f>
        <v>#VALUE!</v>
      </c>
      <c r="FE2" t="e">
        <f>AND(Sheet1!B71,"AAAAAFlsp6A=")</f>
        <v>#VALUE!</v>
      </c>
      <c r="FF2" t="e">
        <f>AND(Sheet1!C71,"AAAAAFlsp6E=")</f>
        <v>#VALUE!</v>
      </c>
      <c r="FG2" t="e">
        <f>AND(Sheet1!D71,"AAAAAFlsp6I=")</f>
        <v>#VALUE!</v>
      </c>
      <c r="FH2" t="e">
        <f>AND(Sheet1!E71,"AAAAAFlsp6M=")</f>
        <v>#VALUE!</v>
      </c>
      <c r="FI2" t="e">
        <f>IF(Sheet1!A:A,"AAAAAFlsp6Q=",0)</f>
        <v>#VALUE!</v>
      </c>
      <c r="FJ2">
        <f>IF(Sheet1!B:B,"AAAAAFlsp6U=",0)</f>
        <v>0</v>
      </c>
      <c r="FK2">
        <f>IF(Sheet1!C:C,"AAAAAFlsp6Y=",0)</f>
        <v>0</v>
      </c>
      <c r="FL2">
        <f>IF(Sheet1!D:D,"AAAAAFlsp6c=",0)</f>
        <v>0</v>
      </c>
      <c r="FM2">
        <f>IF(Sheet1!E:E,"AAAAAFlsp6g=",0)</f>
        <v>0</v>
      </c>
      <c r="FN2" t="e">
        <f>IF(#REF!,"AAAAAFlsp6k=",0)</f>
        <v>#REF!</v>
      </c>
      <c r="FO2" t="e">
        <f>AND(#REF!,"AAAAAFlsp6o=")</f>
        <v>#REF!</v>
      </c>
      <c r="FP2" t="e">
        <f>IF(#REF!,"AAAAAFlsp6s=",0)</f>
        <v>#REF!</v>
      </c>
      <c r="FQ2" t="e">
        <f>IF(#REF!,"AAAAAFlsp6w=",0)</f>
        <v>#REF!</v>
      </c>
      <c r="FR2" t="e">
        <f>AND(#REF!,"AAAAAFlsp60=")</f>
        <v>#REF!</v>
      </c>
      <c r="FS2" t="e">
        <f>IF(#REF!,"AAAAAFlsp64=",0)</f>
        <v>#REF!</v>
      </c>
      <c r="FT2" t="s">
        <v>26</v>
      </c>
    </row>
    <row r="3" spans="1:256" ht="15">
      <c r="A3" t="str">
        <f>IF(Sheet1!72:72,"AAAAAD/flwA=",0)</f>
        <v>AAAAAD/flwA=</v>
      </c>
      <c r="B3" t="e">
        <f>AND(Sheet1!A72,"AAAAAD/flwE=")</f>
        <v>#VALUE!</v>
      </c>
      <c r="C3" t="e">
        <f>AND(Sheet1!B72,"AAAAAD/flwI=")</f>
        <v>#VALUE!</v>
      </c>
      <c r="D3" t="e">
        <f>AND(Sheet1!C72,"AAAAAD/flwM=")</f>
        <v>#VALUE!</v>
      </c>
      <c r="E3" t="e">
        <f>AND(Sheet1!D72,"AAAAAD/flwQ=")</f>
        <v>#VALUE!</v>
      </c>
      <c r="F3" t="e">
        <f>AND(Sheet1!E72,"AAAAAD/flwU=")</f>
        <v>#VALUE!</v>
      </c>
      <c r="G3">
        <f>IF(Sheet1!73:73,"AAAAAD/flwY=",0)</f>
        <v>0</v>
      </c>
      <c r="H3" t="e">
        <f>AND(Sheet1!A73,"AAAAAD/flwc=")</f>
        <v>#VALUE!</v>
      </c>
      <c r="I3" t="e">
        <f>AND(Sheet1!B73,"AAAAAD/flwg=")</f>
        <v>#VALUE!</v>
      </c>
      <c r="J3" t="e">
        <f>AND(Sheet1!C73,"AAAAAD/flwk=")</f>
        <v>#VALUE!</v>
      </c>
      <c r="K3" t="e">
        <f>AND(Sheet1!D73,"AAAAAD/flwo=")</f>
        <v>#VALUE!</v>
      </c>
      <c r="L3" t="e">
        <f>AND(Sheet1!E73,"AAAAAD/flws=")</f>
        <v>#VALUE!</v>
      </c>
      <c r="M3">
        <f>IF(Sheet1!74:74,"AAAAAD/flww=",0)</f>
        <v>0</v>
      </c>
      <c r="N3" t="e">
        <f>AND(Sheet1!A74,"AAAAAD/flw0=")</f>
        <v>#VALUE!</v>
      </c>
      <c r="O3" t="e">
        <f>AND(Sheet1!B74,"AAAAAD/flw4=")</f>
        <v>#VALUE!</v>
      </c>
      <c r="P3" t="e">
        <f>AND(Sheet1!C74,"AAAAAD/flw8=")</f>
        <v>#VALUE!</v>
      </c>
      <c r="Q3" t="e">
        <f>AND(Sheet1!D74,"AAAAAD/flxA=")</f>
        <v>#VALUE!</v>
      </c>
      <c r="R3" t="e">
        <f>AND(Sheet1!E74,"AAAAAD/flxE=")</f>
        <v>#VALUE!</v>
      </c>
      <c r="S3">
        <f>IF(Sheet1!75:75,"AAAAAD/flxI=",0)</f>
        <v>0</v>
      </c>
      <c r="T3" t="e">
        <f>AND(Sheet1!A75,"AAAAAD/flxM=")</f>
        <v>#VALUE!</v>
      </c>
      <c r="U3" t="e">
        <f>AND(Sheet1!B75,"AAAAAD/flxQ=")</f>
        <v>#VALUE!</v>
      </c>
      <c r="V3" t="e">
        <f>AND(Sheet1!C75,"AAAAAD/flxU=")</f>
        <v>#VALUE!</v>
      </c>
      <c r="W3" t="e">
        <f>AND(Sheet1!D75,"AAAAAD/flxY=")</f>
        <v>#VALUE!</v>
      </c>
      <c r="X3" t="e">
        <f>AND(Sheet1!E75,"AAAAAD/flxc=")</f>
        <v>#VALUE!</v>
      </c>
      <c r="Y3">
        <f>IF(Sheet1!76:76,"AAAAAD/flxg=",0)</f>
        <v>0</v>
      </c>
      <c r="Z3" t="e">
        <f>AND(Sheet1!A76,"AAAAAD/flxk=")</f>
        <v>#VALUE!</v>
      </c>
      <c r="AA3" t="e">
        <f>AND(Sheet1!B76,"AAAAAD/flxo=")</f>
        <v>#VALUE!</v>
      </c>
      <c r="AB3" t="e">
        <f>AND(Sheet1!C76,"AAAAAD/flxs=")</f>
        <v>#VALUE!</v>
      </c>
      <c r="AC3" t="e">
        <f>AND(Sheet1!D76,"AAAAAD/flxw=")</f>
        <v>#VALUE!</v>
      </c>
      <c r="AD3" t="e">
        <f>AND(Sheet1!E76,"AAAAAD/flx0=")</f>
        <v>#VALUE!</v>
      </c>
      <c r="AE3">
        <f>IF(Sheet1!77:77,"AAAAAD/flx4=",0)</f>
        <v>0</v>
      </c>
      <c r="AF3" t="e">
        <f>AND(Sheet1!A77,"AAAAAD/flx8=")</f>
        <v>#VALUE!</v>
      </c>
      <c r="AG3" t="e">
        <f>AND(Sheet1!B77,"AAAAAD/flyA=")</f>
        <v>#VALUE!</v>
      </c>
      <c r="AH3" t="e">
        <f>AND(Sheet1!C77,"AAAAAD/flyE=")</f>
        <v>#VALUE!</v>
      </c>
      <c r="AI3" t="e">
        <f>AND(Sheet1!D77,"AAAAAD/flyI=")</f>
        <v>#VALUE!</v>
      </c>
      <c r="AJ3" t="e">
        <f>AND(Sheet1!E77,"AAAAAD/flyM=")</f>
        <v>#VALUE!</v>
      </c>
      <c r="AK3">
        <f>IF(Sheet1!78:78,"AAAAAD/flyQ=",0)</f>
        <v>0</v>
      </c>
      <c r="AL3" t="e">
        <f>AND(Sheet1!A78,"AAAAAD/flyU=")</f>
        <v>#VALUE!</v>
      </c>
      <c r="AM3" t="e">
        <f>AND(Sheet1!B78,"AAAAAD/flyY=")</f>
        <v>#VALUE!</v>
      </c>
      <c r="AN3" t="e">
        <f>AND(Sheet1!C78,"AAAAAD/flyc=")</f>
        <v>#VALUE!</v>
      </c>
      <c r="AO3" t="e">
        <f>AND(Sheet1!D78,"AAAAAD/flyg=")</f>
        <v>#VALUE!</v>
      </c>
      <c r="AP3" t="e">
        <f>AND(Sheet1!E78,"AAAAAD/flyk=")</f>
        <v>#VALUE!</v>
      </c>
      <c r="AQ3">
        <f>IF(Sheet1!79:79,"AAAAAD/flyo=",0)</f>
        <v>0</v>
      </c>
      <c r="AR3" t="e">
        <f>AND(Sheet1!A79,"AAAAAD/flys=")</f>
        <v>#VALUE!</v>
      </c>
      <c r="AS3" t="e">
        <f>AND(Sheet1!B79,"AAAAAD/flyw=")</f>
        <v>#VALUE!</v>
      </c>
      <c r="AT3" t="e">
        <f>AND(Sheet1!C79,"AAAAAD/fly0=")</f>
        <v>#VALUE!</v>
      </c>
      <c r="AU3" t="e">
        <f>AND(Sheet1!D79,"AAAAAD/fly4=")</f>
        <v>#VALUE!</v>
      </c>
      <c r="AV3" t="e">
        <f>AND(Sheet1!E79,"AAAAAD/fly8=")</f>
        <v>#VALUE!</v>
      </c>
      <c r="AW3">
        <f>IF(Sheet1!80:80,"AAAAAD/flzA=",0)</f>
        <v>0</v>
      </c>
      <c r="AX3" t="e">
        <f>AND(Sheet1!A80,"AAAAAD/flzE=")</f>
        <v>#VALUE!</v>
      </c>
      <c r="AY3" t="e">
        <f>AND(Sheet1!B80,"AAAAAD/flzI=")</f>
        <v>#VALUE!</v>
      </c>
      <c r="AZ3" t="e">
        <f>AND(Sheet1!C80,"AAAAAD/flzM=")</f>
        <v>#VALUE!</v>
      </c>
      <c r="BA3" t="e">
        <f>AND(Sheet1!D80,"AAAAAD/flzQ=")</f>
        <v>#VALUE!</v>
      </c>
      <c r="BB3" t="e">
        <f>AND(Sheet1!E80,"AAAAAD/flzU=")</f>
        <v>#VALUE!</v>
      </c>
      <c r="BC3">
        <f>IF(Sheet1!81:81,"AAAAAD/flzY=",0)</f>
        <v>0</v>
      </c>
      <c r="BD3" t="e">
        <f>AND(Sheet1!A81,"AAAAAD/flzc=")</f>
        <v>#VALUE!</v>
      </c>
      <c r="BE3" t="e">
        <f>AND(Sheet1!B81,"AAAAAD/flzg=")</f>
        <v>#VALUE!</v>
      </c>
      <c r="BF3" t="e">
        <f>AND(Sheet1!C81,"AAAAAD/flzk=")</f>
        <v>#VALUE!</v>
      </c>
      <c r="BG3" t="e">
        <f>AND(Sheet1!D81,"AAAAAD/flzo=")</f>
        <v>#VALUE!</v>
      </c>
      <c r="BH3" t="e">
        <f>AND(Sheet1!E81,"AAAAAD/flzs=")</f>
        <v>#VALUE!</v>
      </c>
      <c r="BI3">
        <f>IF(Sheet1!82:82,"AAAAAD/flzw=",0)</f>
        <v>0</v>
      </c>
      <c r="BJ3" t="e">
        <f>AND(Sheet1!A82,"AAAAAD/flz0=")</f>
        <v>#VALUE!</v>
      </c>
      <c r="BK3" t="e">
        <f>AND(Sheet1!B82,"AAAAAD/flz4=")</f>
        <v>#VALUE!</v>
      </c>
      <c r="BL3" t="e">
        <f>AND(Sheet1!C82,"AAAAAD/flz8=")</f>
        <v>#VALUE!</v>
      </c>
      <c r="BM3" t="e">
        <f>AND(Sheet1!D82,"AAAAAD/fl0A=")</f>
        <v>#VALUE!</v>
      </c>
      <c r="BN3" t="e">
        <f>AND(Sheet1!E82,"AAAAAD/fl0E=")</f>
        <v>#VALUE!</v>
      </c>
      <c r="BO3">
        <f>IF(Sheet1!83:83,"AAAAAD/fl0I=",0)</f>
        <v>0</v>
      </c>
      <c r="BP3" t="e">
        <f>AND(Sheet1!A83,"AAAAAD/fl0M=")</f>
        <v>#VALUE!</v>
      </c>
      <c r="BQ3" t="e">
        <f>AND(Sheet1!B83,"AAAAAD/fl0Q=")</f>
        <v>#VALUE!</v>
      </c>
      <c r="BR3" t="e">
        <f>AND(Sheet1!C83,"AAAAAD/fl0U=")</f>
        <v>#VALUE!</v>
      </c>
      <c r="BS3" t="e">
        <f>AND(Sheet1!D83,"AAAAAD/fl0Y=")</f>
        <v>#VALUE!</v>
      </c>
      <c r="BT3" t="e">
        <f>AND(Sheet1!E83,"AAAAAD/fl0c=")</f>
        <v>#VALUE!</v>
      </c>
      <c r="BU3">
        <f>IF(Sheet1!84:84,"AAAAAD/fl0g=",0)</f>
        <v>0</v>
      </c>
      <c r="BV3" t="e">
        <f>AND(Sheet1!A84,"AAAAAD/fl0k=")</f>
        <v>#VALUE!</v>
      </c>
      <c r="BW3" t="e">
        <f>AND(Sheet1!B84,"AAAAAD/fl0o=")</f>
        <v>#VALUE!</v>
      </c>
      <c r="BX3" t="e">
        <f>AND(Sheet1!C84,"AAAAAD/fl0s=")</f>
        <v>#VALUE!</v>
      </c>
      <c r="BY3" t="e">
        <f>AND(Sheet1!D84,"AAAAAD/fl0w=")</f>
        <v>#VALUE!</v>
      </c>
      <c r="BZ3" t="e">
        <f>AND(Sheet1!E84,"AAAAAD/fl00=")</f>
        <v>#VALUE!</v>
      </c>
      <c r="CA3">
        <f>IF(Sheet1!85:85,"AAAAAD/fl04=",0)</f>
        <v>0</v>
      </c>
      <c r="CB3" t="e">
        <f>AND(Sheet1!A85,"AAAAAD/fl08=")</f>
        <v>#VALUE!</v>
      </c>
      <c r="CC3" t="e">
        <f>AND(Sheet1!B85,"AAAAAD/fl1A=")</f>
        <v>#VALUE!</v>
      </c>
      <c r="CD3" t="e">
        <f>AND(Sheet1!C85,"AAAAAD/fl1E=")</f>
        <v>#VALUE!</v>
      </c>
      <c r="CE3" t="e">
        <f>AND(Sheet1!D85,"AAAAAD/fl1I=")</f>
        <v>#VALUE!</v>
      </c>
      <c r="CF3" t="e">
        <f>AND(Sheet1!E85,"AAAAAD/fl1M=")</f>
        <v>#VALUE!</v>
      </c>
      <c r="CG3">
        <f>IF(Sheet1!86:86,"AAAAAD/fl1Q=",0)</f>
        <v>0</v>
      </c>
      <c r="CH3" t="e">
        <f>AND(Sheet1!A86,"AAAAAD/fl1U=")</f>
        <v>#VALUE!</v>
      </c>
      <c r="CI3" t="e">
        <f>AND(Sheet1!B86,"AAAAAD/fl1Y=")</f>
        <v>#VALUE!</v>
      </c>
      <c r="CJ3" t="e">
        <f>AND(Sheet1!C86,"AAAAAD/fl1c=")</f>
        <v>#VALUE!</v>
      </c>
      <c r="CK3" t="e">
        <f>AND(Sheet1!D86,"AAAAAD/fl1g=")</f>
        <v>#VALUE!</v>
      </c>
      <c r="CL3" t="e">
        <f>AND(Sheet1!E86,"AAAAAD/fl1k=")</f>
        <v>#VALUE!</v>
      </c>
      <c r="CM3">
        <f>IF(Sheet1!87:87,"AAAAAD/fl1o=",0)</f>
        <v>0</v>
      </c>
      <c r="CN3" t="e">
        <f>AND(Sheet1!A87,"AAAAAD/fl1s=")</f>
        <v>#VALUE!</v>
      </c>
      <c r="CO3" t="e">
        <f>AND(Sheet1!B87,"AAAAAD/fl1w=")</f>
        <v>#VALUE!</v>
      </c>
      <c r="CP3" t="e">
        <f>AND(Sheet1!C87,"AAAAAD/fl10=")</f>
        <v>#VALUE!</v>
      </c>
      <c r="CQ3" t="e">
        <f>AND(Sheet1!D87,"AAAAAD/fl14=")</f>
        <v>#VALUE!</v>
      </c>
      <c r="CR3" t="e">
        <f>AND(Sheet1!E87,"AAAAAD/fl18=")</f>
        <v>#VALUE!</v>
      </c>
      <c r="CS3">
        <f>IF(Sheet1!88:88,"AAAAAD/fl2A=",0)</f>
        <v>0</v>
      </c>
      <c r="CT3" t="e">
        <f>AND(Sheet1!A88,"AAAAAD/fl2E=")</f>
        <v>#VALUE!</v>
      </c>
      <c r="CU3" t="e">
        <f>AND(Sheet1!B88,"AAAAAD/fl2I=")</f>
        <v>#VALUE!</v>
      </c>
      <c r="CV3" t="e">
        <f>AND(Sheet1!C88,"AAAAAD/fl2M=")</f>
        <v>#VALUE!</v>
      </c>
      <c r="CW3" t="e">
        <f>AND(Sheet1!D88,"AAAAAD/fl2Q=")</f>
        <v>#VALUE!</v>
      </c>
      <c r="CX3" t="e">
        <f>AND(Sheet1!E88,"AAAAAD/fl2U=")</f>
        <v>#VALUE!</v>
      </c>
      <c r="CY3">
        <f>IF(Sheet1!89:89,"AAAAAD/fl2Y=",0)</f>
        <v>0</v>
      </c>
      <c r="CZ3" t="e">
        <f>AND(Sheet1!A89,"AAAAAD/fl2c=")</f>
        <v>#VALUE!</v>
      </c>
      <c r="DA3" t="e">
        <f>AND(Sheet1!B89,"AAAAAD/fl2g=")</f>
        <v>#VALUE!</v>
      </c>
      <c r="DB3" t="e">
        <f>AND(Sheet1!C89,"AAAAAD/fl2k=")</f>
        <v>#VALUE!</v>
      </c>
      <c r="DC3" t="e">
        <f>AND(Sheet1!D89,"AAAAAD/fl2o=")</f>
        <v>#VALUE!</v>
      </c>
      <c r="DD3" t="e">
        <f>AND(Sheet1!E89,"AAAAAD/fl2s=")</f>
        <v>#VALUE!</v>
      </c>
      <c r="DE3">
        <f>IF(Sheet1!90:90,"AAAAAD/fl2w=",0)</f>
        <v>0</v>
      </c>
      <c r="DF3" t="e">
        <f>AND(Sheet1!A90,"AAAAAD/fl20=")</f>
        <v>#VALUE!</v>
      </c>
      <c r="DG3" t="e">
        <f>AND(Sheet1!B90,"AAAAAD/fl24=")</f>
        <v>#VALUE!</v>
      </c>
      <c r="DH3" t="e">
        <f>AND(Sheet1!C90,"AAAAAD/fl28=")</f>
        <v>#VALUE!</v>
      </c>
      <c r="DI3" t="e">
        <f>AND(Sheet1!D90,"AAAAAD/fl3A=")</f>
        <v>#VALUE!</v>
      </c>
      <c r="DJ3" t="e">
        <f>AND(Sheet1!E90,"AAAAAD/fl3E=")</f>
        <v>#VALUE!</v>
      </c>
      <c r="DK3">
        <f>IF(Sheet1!91:91,"AAAAAD/fl3I=",0)</f>
        <v>0</v>
      </c>
      <c r="DL3" t="e">
        <f>AND(Sheet1!A91,"AAAAAD/fl3M=")</f>
        <v>#VALUE!</v>
      </c>
      <c r="DM3" t="e">
        <f>AND(Sheet1!B91,"AAAAAD/fl3Q=")</f>
        <v>#VALUE!</v>
      </c>
      <c r="DN3" t="e">
        <f>AND(Sheet1!C91,"AAAAAD/fl3U=")</f>
        <v>#VALUE!</v>
      </c>
      <c r="DO3" t="e">
        <f>AND(Sheet1!D91,"AAAAAD/fl3Y=")</f>
        <v>#VALUE!</v>
      </c>
      <c r="DP3" t="e">
        <f>AND(Sheet1!E91,"AAAAAD/fl3c=")</f>
        <v>#VALUE!</v>
      </c>
      <c r="DQ3">
        <f>IF(Sheet1!92:92,"AAAAAD/fl3g=",0)</f>
        <v>0</v>
      </c>
      <c r="DR3" t="e">
        <f>AND(Sheet1!A92,"AAAAAD/fl3k=")</f>
        <v>#VALUE!</v>
      </c>
      <c r="DS3" t="e">
        <f>AND(Sheet1!B92,"AAAAAD/fl3o=")</f>
        <v>#VALUE!</v>
      </c>
      <c r="DT3" t="e">
        <f>AND(Sheet1!C92,"AAAAAD/fl3s=")</f>
        <v>#VALUE!</v>
      </c>
      <c r="DU3" t="e">
        <f>AND(Sheet1!D92,"AAAAAD/fl3w=")</f>
        <v>#VALUE!</v>
      </c>
      <c r="DV3" t="e">
        <f>AND(Sheet1!E92,"AAAAAD/fl30=")</f>
        <v>#VALUE!</v>
      </c>
      <c r="DW3">
        <f>IF(Sheet1!93:93,"AAAAAD/fl34=",0)</f>
        <v>0</v>
      </c>
      <c r="DX3" t="e">
        <f>AND(Sheet1!A93,"AAAAAD/fl38=")</f>
        <v>#VALUE!</v>
      </c>
      <c r="DY3" t="e">
        <f>AND(Sheet1!B93,"AAAAAD/fl4A=")</f>
        <v>#VALUE!</v>
      </c>
      <c r="DZ3" t="e">
        <f>AND(Sheet1!C93,"AAAAAD/fl4E=")</f>
        <v>#VALUE!</v>
      </c>
      <c r="EA3" t="e">
        <f>AND(Sheet1!D93,"AAAAAD/fl4I=")</f>
        <v>#VALUE!</v>
      </c>
      <c r="EB3" t="e">
        <f>AND(Sheet1!E93,"AAAAAD/fl4M=")</f>
        <v>#VALUE!</v>
      </c>
      <c r="EC3">
        <f>IF(Sheet1!94:94,"AAAAAD/fl4Q=",0)</f>
        <v>0</v>
      </c>
      <c r="ED3" t="e">
        <f>AND(Sheet1!A94,"AAAAAD/fl4U=")</f>
        <v>#VALUE!</v>
      </c>
      <c r="EE3" t="e">
        <f>AND(Sheet1!B94,"AAAAAD/fl4Y=")</f>
        <v>#VALUE!</v>
      </c>
      <c r="EF3" t="e">
        <f>AND(Sheet1!C94,"AAAAAD/fl4c=")</f>
        <v>#VALUE!</v>
      </c>
      <c r="EG3" t="e">
        <f>AND(Sheet1!D94,"AAAAAD/fl4g=")</f>
        <v>#VALUE!</v>
      </c>
      <c r="EH3" t="e">
        <f>AND(Sheet1!E94,"AAAAAD/fl4k=")</f>
        <v>#VALUE!</v>
      </c>
      <c r="EI3">
        <f>IF(Sheet1!95:95,"AAAAAD/fl4o=",0)</f>
        <v>0</v>
      </c>
      <c r="EJ3" t="e">
        <f>AND(Sheet1!A95,"AAAAAD/fl4s=")</f>
        <v>#VALUE!</v>
      </c>
      <c r="EK3" t="e">
        <f>AND(Sheet1!B95,"AAAAAD/fl4w=")</f>
        <v>#VALUE!</v>
      </c>
      <c r="EL3" t="e">
        <f>AND(Sheet1!C95,"AAAAAD/fl40=")</f>
        <v>#VALUE!</v>
      </c>
      <c r="EM3" t="e">
        <f>AND(Sheet1!D95,"AAAAAD/fl44=")</f>
        <v>#VALUE!</v>
      </c>
      <c r="EN3" t="e">
        <f>AND(Sheet1!E95,"AAAAAD/fl48=")</f>
        <v>#VALUE!</v>
      </c>
      <c r="EO3">
        <f>IF(Sheet1!96:96,"AAAAAD/fl5A=",0)</f>
        <v>0</v>
      </c>
      <c r="EP3" t="e">
        <f>AND(Sheet1!A96,"AAAAAD/fl5E=")</f>
        <v>#VALUE!</v>
      </c>
      <c r="EQ3" t="e">
        <f>AND(Sheet1!B96,"AAAAAD/fl5I=")</f>
        <v>#VALUE!</v>
      </c>
      <c r="ER3" t="e">
        <f>AND(Sheet1!C96,"AAAAAD/fl5M=")</f>
        <v>#VALUE!</v>
      </c>
      <c r="ES3" t="e">
        <f>AND(Sheet1!D96,"AAAAAD/fl5Q=")</f>
        <v>#VALUE!</v>
      </c>
      <c r="ET3" t="e">
        <f>AND(Sheet1!E96,"AAAAAD/fl5U=")</f>
        <v>#VALUE!</v>
      </c>
      <c r="EU3">
        <f>IF(Sheet1!97:97,"AAAAAD/fl5Y=",0)</f>
        <v>0</v>
      </c>
      <c r="EV3" t="e">
        <f>AND(Sheet1!A97,"AAAAAD/fl5c=")</f>
        <v>#VALUE!</v>
      </c>
      <c r="EW3" t="e">
        <f>AND(Sheet1!B97,"AAAAAD/fl5g=")</f>
        <v>#VALUE!</v>
      </c>
      <c r="EX3" t="e">
        <f>AND(Sheet1!C97,"AAAAAD/fl5k=")</f>
        <v>#VALUE!</v>
      </c>
      <c r="EY3" t="e">
        <f>AND(Sheet1!D97,"AAAAAD/fl5o=")</f>
        <v>#VALUE!</v>
      </c>
      <c r="EZ3" t="e">
        <f>AND(Sheet1!E97,"AAAAAD/fl5s=")</f>
        <v>#VALUE!</v>
      </c>
      <c r="FA3">
        <f>IF(Sheet1!98:98,"AAAAAD/fl5w=",0)</f>
        <v>0</v>
      </c>
      <c r="FB3" t="e">
        <f>AND(Sheet1!A98,"AAAAAD/fl50=")</f>
        <v>#VALUE!</v>
      </c>
      <c r="FC3" t="e">
        <f>AND(Sheet1!B98,"AAAAAD/fl54=")</f>
        <v>#VALUE!</v>
      </c>
      <c r="FD3" t="e">
        <f>AND(Sheet1!C98,"AAAAAD/fl58=")</f>
        <v>#VALUE!</v>
      </c>
      <c r="FE3" t="e">
        <f>AND(Sheet1!D98,"AAAAAD/fl6A=")</f>
        <v>#VALUE!</v>
      </c>
      <c r="FF3" t="e">
        <f>AND(Sheet1!E98,"AAAAAD/fl6E=")</f>
        <v>#VALUE!</v>
      </c>
      <c r="FG3">
        <f>IF(Sheet1!99:99,"AAAAAD/fl6I=",0)</f>
        <v>0</v>
      </c>
      <c r="FH3" t="e">
        <f>AND(Sheet1!A99,"AAAAAD/fl6M=")</f>
        <v>#VALUE!</v>
      </c>
      <c r="FI3" t="e">
        <f>AND(Sheet1!B99,"AAAAAD/fl6Q=")</f>
        <v>#VALUE!</v>
      </c>
      <c r="FJ3" t="e">
        <f>AND(Sheet1!C99,"AAAAAD/fl6U=")</f>
        <v>#VALUE!</v>
      </c>
      <c r="FK3" t="e">
        <f>AND(Sheet1!D99,"AAAAAD/fl6Y=")</f>
        <v>#VALUE!</v>
      </c>
      <c r="FL3" t="e">
        <f>AND(Sheet1!E99,"AAAAAD/fl6c=")</f>
        <v>#VALUE!</v>
      </c>
      <c r="FM3">
        <f>IF(Sheet1!100:100,"AAAAAD/fl6g=",0)</f>
        <v>0</v>
      </c>
      <c r="FN3" t="e">
        <f>AND(Sheet1!A100,"AAAAAD/fl6k=")</f>
        <v>#VALUE!</v>
      </c>
      <c r="FO3" t="e">
        <f>AND(Sheet1!B100,"AAAAAD/fl6o=")</f>
        <v>#VALUE!</v>
      </c>
      <c r="FP3" t="e">
        <f>AND(Sheet1!C100,"AAAAAD/fl6s=")</f>
        <v>#VALUE!</v>
      </c>
      <c r="FQ3" t="e">
        <f>AND(Sheet1!D100,"AAAAAD/fl6w=")</f>
        <v>#VALUE!</v>
      </c>
      <c r="FR3" t="e">
        <f>AND(Sheet1!E100,"AAAAAD/fl60=")</f>
        <v>#VALUE!</v>
      </c>
      <c r="FS3">
        <f>IF(Sheet1!101:101,"AAAAAD/fl64=",0)</f>
        <v>0</v>
      </c>
      <c r="FT3" t="e">
        <f>AND(Sheet1!A101,"AAAAAD/fl68=")</f>
        <v>#VALUE!</v>
      </c>
      <c r="FU3" t="e">
        <f>AND(Sheet1!B101,"AAAAAD/fl7A=")</f>
        <v>#VALUE!</v>
      </c>
      <c r="FV3" t="e">
        <f>AND(Sheet1!C101,"AAAAAD/fl7E=")</f>
        <v>#VALUE!</v>
      </c>
      <c r="FW3" t="e">
        <f>AND(Sheet1!D101,"AAAAAD/fl7I=")</f>
        <v>#VALUE!</v>
      </c>
      <c r="FX3" t="e">
        <f>AND(Sheet1!E101,"AAAAAD/fl7M=")</f>
        <v>#VALUE!</v>
      </c>
      <c r="FY3">
        <f>IF(Sheet1!102:102,"AAAAAD/fl7Q=",0)</f>
        <v>0</v>
      </c>
      <c r="FZ3" t="e">
        <f>AND(Sheet1!A102,"AAAAAD/fl7U=")</f>
        <v>#VALUE!</v>
      </c>
      <c r="GA3" t="e">
        <f>AND(Sheet1!B102,"AAAAAD/fl7Y=")</f>
        <v>#VALUE!</v>
      </c>
      <c r="GB3" t="e">
        <f>AND(Sheet1!C102,"AAAAAD/fl7c=")</f>
        <v>#VALUE!</v>
      </c>
      <c r="GC3" t="e">
        <f>AND(Sheet1!D102,"AAAAAD/fl7g=")</f>
        <v>#VALUE!</v>
      </c>
      <c r="GD3" t="e">
        <f>AND(Sheet1!E102,"AAAAAD/fl7k=")</f>
        <v>#VALUE!</v>
      </c>
      <c r="GE3">
        <f>IF(Sheet1!103:103,"AAAAAD/fl7o=",0)</f>
        <v>0</v>
      </c>
      <c r="GF3" t="e">
        <f>AND(Sheet1!A103,"AAAAAD/fl7s=")</f>
        <v>#VALUE!</v>
      </c>
      <c r="GG3" t="e">
        <f>AND(Sheet1!B103,"AAAAAD/fl7w=")</f>
        <v>#VALUE!</v>
      </c>
      <c r="GH3" t="e">
        <f>AND(Sheet1!C103,"AAAAAD/fl70=")</f>
        <v>#VALUE!</v>
      </c>
      <c r="GI3" t="e">
        <f>AND(Sheet1!D103,"AAAAAD/fl74=")</f>
        <v>#VALUE!</v>
      </c>
      <c r="GJ3" t="e">
        <f>AND(Sheet1!E103,"AAAAAD/fl78=")</f>
        <v>#VALUE!</v>
      </c>
      <c r="GK3">
        <f>IF(Sheet1!104:104,"AAAAAD/fl8A=",0)</f>
        <v>0</v>
      </c>
      <c r="GL3" t="e">
        <f>AND(Sheet1!A104,"AAAAAD/fl8E=")</f>
        <v>#VALUE!</v>
      </c>
      <c r="GM3" t="e">
        <f>AND(Sheet1!B104,"AAAAAD/fl8I=")</f>
        <v>#VALUE!</v>
      </c>
      <c r="GN3" t="e">
        <f>AND(Sheet1!C104,"AAAAAD/fl8M=")</f>
        <v>#VALUE!</v>
      </c>
      <c r="GO3" t="e">
        <f>AND(Sheet1!D104,"AAAAAD/fl8Q=")</f>
        <v>#VALUE!</v>
      </c>
      <c r="GP3" t="e">
        <f>AND(Sheet1!E104,"AAAAAD/fl8U=")</f>
        <v>#VALUE!</v>
      </c>
      <c r="GQ3">
        <f>IF(Sheet1!105:105,"AAAAAD/fl8Y=",0)</f>
        <v>0</v>
      </c>
      <c r="GR3" t="e">
        <f>AND(Sheet1!A105,"AAAAAD/fl8c=")</f>
        <v>#VALUE!</v>
      </c>
      <c r="GS3" t="e">
        <f>AND(Sheet1!B105,"AAAAAD/fl8g=")</f>
        <v>#VALUE!</v>
      </c>
      <c r="GT3" t="e">
        <f>AND(Sheet1!C105,"AAAAAD/fl8k=")</f>
        <v>#VALUE!</v>
      </c>
      <c r="GU3" t="e">
        <f>AND(Sheet1!D105,"AAAAAD/fl8o=")</f>
        <v>#VALUE!</v>
      </c>
      <c r="GV3" t="e">
        <f>AND(Sheet1!E105,"AAAAAD/fl8s=")</f>
        <v>#VALUE!</v>
      </c>
      <c r="GW3">
        <f>IF(Sheet1!106:106,"AAAAAD/fl8w=",0)</f>
        <v>0</v>
      </c>
      <c r="GX3" t="e">
        <f>AND(Sheet1!A106,"AAAAAD/fl80=")</f>
        <v>#VALUE!</v>
      </c>
      <c r="GY3" t="e">
        <f>AND(Sheet1!B106,"AAAAAD/fl84=")</f>
        <v>#VALUE!</v>
      </c>
      <c r="GZ3" t="e">
        <f>AND(Sheet1!C106,"AAAAAD/fl88=")</f>
        <v>#VALUE!</v>
      </c>
      <c r="HA3" t="e">
        <f>AND(Sheet1!D106,"AAAAAD/fl9A=")</f>
        <v>#VALUE!</v>
      </c>
      <c r="HB3" t="e">
        <f>AND(Sheet1!E106,"AAAAAD/fl9E=")</f>
        <v>#VALUE!</v>
      </c>
      <c r="HC3">
        <f>IF(Sheet1!107:107,"AAAAAD/fl9I=",0)</f>
        <v>0</v>
      </c>
      <c r="HD3" t="e">
        <f>AND(Sheet1!A107,"AAAAAD/fl9M=")</f>
        <v>#VALUE!</v>
      </c>
      <c r="HE3" t="e">
        <f>AND(Sheet1!B107,"AAAAAD/fl9Q=")</f>
        <v>#VALUE!</v>
      </c>
      <c r="HF3" t="e">
        <f>AND(Sheet1!C107,"AAAAAD/fl9U=")</f>
        <v>#VALUE!</v>
      </c>
      <c r="HG3" t="e">
        <f>AND(Sheet1!D107,"AAAAAD/fl9Y=")</f>
        <v>#VALUE!</v>
      </c>
      <c r="HH3" t="e">
        <f>AND(Sheet1!E107,"AAAAAD/fl9c=")</f>
        <v>#VALUE!</v>
      </c>
      <c r="HI3">
        <f>IF(Sheet1!108:108,"AAAAAD/fl9g=",0)</f>
        <v>0</v>
      </c>
      <c r="HJ3" t="e">
        <f>AND(Sheet1!A108,"AAAAAD/fl9k=")</f>
        <v>#VALUE!</v>
      </c>
      <c r="HK3" t="e">
        <f>AND(Sheet1!B108,"AAAAAD/fl9o=")</f>
        <v>#VALUE!</v>
      </c>
      <c r="HL3" t="e">
        <f>AND(Sheet1!C108,"AAAAAD/fl9s=")</f>
        <v>#VALUE!</v>
      </c>
      <c r="HM3" t="e">
        <f>AND(Sheet1!D108,"AAAAAD/fl9w=")</f>
        <v>#VALUE!</v>
      </c>
      <c r="HN3" t="e">
        <f>AND(Sheet1!E108,"AAAAAD/fl90=")</f>
        <v>#VALUE!</v>
      </c>
      <c r="HO3">
        <f>IF(Sheet1!109:109,"AAAAAD/fl94=",0)</f>
        <v>0</v>
      </c>
      <c r="HP3" t="e">
        <f>AND(Sheet1!A109,"AAAAAD/fl98=")</f>
        <v>#VALUE!</v>
      </c>
      <c r="HQ3" t="e">
        <f>AND(Sheet1!B109,"AAAAAD/fl+A=")</f>
        <v>#VALUE!</v>
      </c>
      <c r="HR3" t="e">
        <f>AND(Sheet1!C109,"AAAAAD/fl+E=")</f>
        <v>#VALUE!</v>
      </c>
      <c r="HS3" t="e">
        <f>AND(Sheet1!D109,"AAAAAD/fl+I=")</f>
        <v>#VALUE!</v>
      </c>
      <c r="HT3" t="e">
        <f>AND(Sheet1!E109,"AAAAAD/fl+M=")</f>
        <v>#VALUE!</v>
      </c>
      <c r="HU3">
        <f>IF(Sheet1!110:110,"AAAAAD/fl+Q=",0)</f>
        <v>0</v>
      </c>
      <c r="HV3" t="e">
        <f>AND(Sheet1!A110,"AAAAAD/fl+U=")</f>
        <v>#VALUE!</v>
      </c>
      <c r="HW3" t="e">
        <f>AND(Sheet1!B110,"AAAAAD/fl+Y=")</f>
        <v>#VALUE!</v>
      </c>
      <c r="HX3" t="e">
        <f>AND(Sheet1!C110,"AAAAAD/fl+c=")</f>
        <v>#VALUE!</v>
      </c>
      <c r="HY3" t="e">
        <f>AND(Sheet1!D110,"AAAAAD/fl+g=")</f>
        <v>#VALUE!</v>
      </c>
      <c r="HZ3" t="e">
        <f>AND(Sheet1!E110,"AAAAAD/fl+k=")</f>
        <v>#VALUE!</v>
      </c>
      <c r="IA3">
        <f>IF(Sheet1!111:111,"AAAAAD/fl+o=",0)</f>
        <v>0</v>
      </c>
      <c r="IB3" t="e">
        <f>AND(Sheet1!A111,"AAAAAD/fl+s=")</f>
        <v>#VALUE!</v>
      </c>
      <c r="IC3" t="e">
        <f>AND(Sheet1!B111,"AAAAAD/fl+w=")</f>
        <v>#VALUE!</v>
      </c>
      <c r="ID3" t="e">
        <f>AND(Sheet1!C111,"AAAAAD/fl+0=")</f>
        <v>#VALUE!</v>
      </c>
      <c r="IE3" t="e">
        <f>AND(Sheet1!D111,"AAAAAD/fl+4=")</f>
        <v>#VALUE!</v>
      </c>
      <c r="IF3" t="e">
        <f>AND(Sheet1!E111,"AAAAAD/fl+8=")</f>
        <v>#VALUE!</v>
      </c>
      <c r="IG3">
        <f>IF(Sheet1!112:112,"AAAAAD/fl/A=",0)</f>
        <v>0</v>
      </c>
      <c r="IH3" t="e">
        <f>AND(Sheet1!A112,"AAAAAD/fl/E=")</f>
        <v>#VALUE!</v>
      </c>
      <c r="II3" t="e">
        <f>AND(Sheet1!B112,"AAAAAD/fl/I=")</f>
        <v>#VALUE!</v>
      </c>
      <c r="IJ3" t="e">
        <f>AND(Sheet1!C112,"AAAAAD/fl/M=")</f>
        <v>#VALUE!</v>
      </c>
      <c r="IK3" t="e">
        <f>AND(Sheet1!D112,"AAAAAD/fl/Q=")</f>
        <v>#VALUE!</v>
      </c>
      <c r="IL3" t="e">
        <f>AND(Sheet1!E112,"AAAAAD/fl/U=")</f>
        <v>#VALUE!</v>
      </c>
      <c r="IM3">
        <f>IF(Sheet1!113:113,"AAAAAD/fl/Y=",0)</f>
        <v>0</v>
      </c>
      <c r="IN3" t="e">
        <f>AND(Sheet1!A113,"AAAAAD/fl/c=")</f>
        <v>#VALUE!</v>
      </c>
      <c r="IO3" t="e">
        <f>AND(Sheet1!B113,"AAAAAD/fl/g=")</f>
        <v>#VALUE!</v>
      </c>
      <c r="IP3" t="e">
        <f>AND(Sheet1!C113,"AAAAAD/fl/k=")</f>
        <v>#VALUE!</v>
      </c>
      <c r="IQ3" t="e">
        <f>AND(Sheet1!D113,"AAAAAD/fl/o=")</f>
        <v>#VALUE!</v>
      </c>
      <c r="IR3" t="e">
        <f>AND(Sheet1!E113,"AAAAAD/fl/s=")</f>
        <v>#VALUE!</v>
      </c>
      <c r="IS3">
        <f>IF(Sheet1!114:114,"AAAAAD/fl/w=",0)</f>
        <v>0</v>
      </c>
      <c r="IT3" t="e">
        <f>AND(Sheet1!A114,"AAAAAD/fl/0=")</f>
        <v>#VALUE!</v>
      </c>
      <c r="IU3" t="e">
        <f>AND(Sheet1!B114,"AAAAAD/fl/4=")</f>
        <v>#VALUE!</v>
      </c>
      <c r="IV3" t="e">
        <f>AND(Sheet1!C114,"AAAAAD/fl/8=")</f>
        <v>#VALUE!</v>
      </c>
    </row>
    <row r="4" spans="1:256" ht="15">
      <c r="A4" t="e">
        <f>AND(Sheet1!D114,"AAAAAB5/iwA=")</f>
        <v>#VALUE!</v>
      </c>
      <c r="B4" t="e">
        <f>AND(Sheet1!E114,"AAAAAB5/iwE=")</f>
        <v>#VALUE!</v>
      </c>
      <c r="C4" t="e">
        <f>IF(Sheet1!115:115,"AAAAAB5/iwI=",0)</f>
        <v>#VALUE!</v>
      </c>
      <c r="D4" t="e">
        <f>AND(Sheet1!A115,"AAAAAB5/iwM=")</f>
        <v>#VALUE!</v>
      </c>
      <c r="E4" t="e">
        <f>AND(Sheet1!B115,"AAAAAB5/iwQ=")</f>
        <v>#VALUE!</v>
      </c>
      <c r="F4" t="e">
        <f>AND(Sheet1!C115,"AAAAAB5/iwU=")</f>
        <v>#VALUE!</v>
      </c>
      <c r="G4" t="e">
        <f>AND(Sheet1!D115,"AAAAAB5/iwY=")</f>
        <v>#VALUE!</v>
      </c>
      <c r="H4" t="e">
        <f>AND(Sheet1!E115,"AAAAAB5/iwc=")</f>
        <v>#VALUE!</v>
      </c>
      <c r="I4">
        <f>IF(Sheet1!116:116,"AAAAAB5/iwg=",0)</f>
        <v>0</v>
      </c>
      <c r="J4" t="e">
        <f>AND(Sheet1!A116,"AAAAAB5/iwk=")</f>
        <v>#VALUE!</v>
      </c>
      <c r="K4" t="e">
        <f>AND(Sheet1!B116,"AAAAAB5/iwo=")</f>
        <v>#VALUE!</v>
      </c>
      <c r="L4" t="e">
        <f>AND(Sheet1!C116,"AAAAAB5/iws=")</f>
        <v>#VALUE!</v>
      </c>
      <c r="M4" t="e">
        <f>AND(Sheet1!D116,"AAAAAB5/iww=")</f>
        <v>#VALUE!</v>
      </c>
      <c r="N4" t="e">
        <f>AND(Sheet1!E116,"AAAAAB5/iw0=")</f>
        <v>#VALUE!</v>
      </c>
      <c r="O4">
        <f>IF(Sheet1!117:117,"AAAAAB5/iw4=",0)</f>
        <v>0</v>
      </c>
      <c r="P4" t="e">
        <f>AND(Sheet1!A117,"AAAAAB5/iw8=")</f>
        <v>#VALUE!</v>
      </c>
      <c r="Q4" t="e">
        <f>AND(Sheet1!B117,"AAAAAB5/ixA=")</f>
        <v>#VALUE!</v>
      </c>
      <c r="R4" t="e">
        <f>AND(Sheet1!C117,"AAAAAB5/ixE=")</f>
        <v>#VALUE!</v>
      </c>
      <c r="S4" t="e">
        <f>AND(Sheet1!D117,"AAAAAB5/ixI=")</f>
        <v>#VALUE!</v>
      </c>
      <c r="T4" t="e">
        <f>AND(Sheet1!E117,"AAAAAB5/ixM=")</f>
        <v>#VALUE!</v>
      </c>
      <c r="U4">
        <f>IF(Sheet1!118:118,"AAAAAB5/ixQ=",0)</f>
        <v>0</v>
      </c>
      <c r="V4" t="e">
        <f>AND(Sheet1!A118,"AAAAAB5/ixU=")</f>
        <v>#VALUE!</v>
      </c>
      <c r="W4" t="e">
        <f>AND(Sheet1!B118,"AAAAAB5/ixY=")</f>
        <v>#VALUE!</v>
      </c>
      <c r="X4" t="e">
        <f>AND(Sheet1!C118,"AAAAAB5/ixc=")</f>
        <v>#VALUE!</v>
      </c>
      <c r="Y4" t="e">
        <f>AND(Sheet1!D118,"AAAAAB5/ixg=")</f>
        <v>#VALUE!</v>
      </c>
      <c r="Z4" t="e">
        <f>AND(Sheet1!E118,"AAAAAB5/ixk=")</f>
        <v>#VALUE!</v>
      </c>
      <c r="AA4">
        <f>IF(Sheet1!119:119,"AAAAAB5/ixo=",0)</f>
        <v>0</v>
      </c>
      <c r="AB4" t="e">
        <f>AND(Sheet1!A119,"AAAAAB5/ixs=")</f>
        <v>#VALUE!</v>
      </c>
      <c r="AC4" t="e">
        <f>AND(Sheet1!B119,"AAAAAB5/ixw=")</f>
        <v>#VALUE!</v>
      </c>
      <c r="AD4" t="e">
        <f>AND(Sheet1!C119,"AAAAAB5/ix0=")</f>
        <v>#VALUE!</v>
      </c>
      <c r="AE4" t="e">
        <f>AND(Sheet1!D119,"AAAAAB5/ix4=")</f>
        <v>#VALUE!</v>
      </c>
      <c r="AF4" t="e">
        <f>AND(Sheet1!E119,"AAAAAB5/ix8=")</f>
        <v>#VALUE!</v>
      </c>
      <c r="AG4">
        <f>IF(Sheet1!120:120,"AAAAAB5/iyA=",0)</f>
        <v>0</v>
      </c>
      <c r="AH4" t="e">
        <f>AND(Sheet1!A120,"AAAAAB5/iyE=")</f>
        <v>#VALUE!</v>
      </c>
      <c r="AI4" t="e">
        <f>AND(Sheet1!B120,"AAAAAB5/iyI=")</f>
        <v>#VALUE!</v>
      </c>
      <c r="AJ4" t="e">
        <f>AND(Sheet1!C120,"AAAAAB5/iyM=")</f>
        <v>#VALUE!</v>
      </c>
      <c r="AK4" t="e">
        <f>AND(Sheet1!D120,"AAAAAB5/iyQ=")</f>
        <v>#VALUE!</v>
      </c>
      <c r="AL4" t="e">
        <f>AND(Sheet1!E120,"AAAAAB5/iyU=")</f>
        <v>#VALUE!</v>
      </c>
      <c r="AM4">
        <f>IF(Sheet1!121:121,"AAAAAB5/iyY=",0)</f>
        <v>0</v>
      </c>
      <c r="AN4" t="e">
        <f>AND(Sheet1!A121,"AAAAAB5/iyc=")</f>
        <v>#VALUE!</v>
      </c>
      <c r="AO4" t="e">
        <f>AND(Sheet1!B121,"AAAAAB5/iyg=")</f>
        <v>#VALUE!</v>
      </c>
      <c r="AP4" t="e">
        <f>AND(Sheet1!C121,"AAAAAB5/iyk=")</f>
        <v>#VALUE!</v>
      </c>
      <c r="AQ4" t="e">
        <f>AND(Sheet1!D121,"AAAAAB5/iyo=")</f>
        <v>#VALUE!</v>
      </c>
      <c r="AR4" t="e">
        <f>AND(Sheet1!E121,"AAAAAB5/iys=")</f>
        <v>#VALUE!</v>
      </c>
      <c r="AS4">
        <f>IF(Sheet1!122:122,"AAAAAB5/iyw=",0)</f>
        <v>0</v>
      </c>
      <c r="AT4" t="e">
        <f>AND(Sheet1!A122,"AAAAAB5/iy0=")</f>
        <v>#VALUE!</v>
      </c>
      <c r="AU4" t="e">
        <f>AND(Sheet1!B122,"AAAAAB5/iy4=")</f>
        <v>#VALUE!</v>
      </c>
      <c r="AV4" t="e">
        <f>AND(Sheet1!C122,"AAAAAB5/iy8=")</f>
        <v>#VALUE!</v>
      </c>
      <c r="AW4" t="e">
        <f>AND(Sheet1!D122,"AAAAAB5/izA=")</f>
        <v>#VALUE!</v>
      </c>
      <c r="AX4" t="e">
        <f>AND(Sheet1!E122,"AAAAAB5/izE=")</f>
        <v>#VALUE!</v>
      </c>
      <c r="AY4">
        <f>IF(Sheet1!123:123,"AAAAAB5/izI=",0)</f>
        <v>0</v>
      </c>
      <c r="AZ4" t="e">
        <f>AND(Sheet1!A123,"AAAAAB5/izM=")</f>
        <v>#VALUE!</v>
      </c>
      <c r="BA4" t="e">
        <f>AND(Sheet1!B123,"AAAAAB5/izQ=")</f>
        <v>#VALUE!</v>
      </c>
      <c r="BB4" t="e">
        <f>AND(Sheet1!C123,"AAAAAB5/izU=")</f>
        <v>#VALUE!</v>
      </c>
      <c r="BC4" t="e">
        <f>AND(Sheet1!D123,"AAAAAB5/izY=")</f>
        <v>#VALUE!</v>
      </c>
      <c r="BD4" t="e">
        <f>AND(Sheet1!E123,"AAAAAB5/izc=")</f>
        <v>#VALUE!</v>
      </c>
      <c r="BE4">
        <f>IF(Sheet1!124:124,"AAAAAB5/izg=",0)</f>
        <v>0</v>
      </c>
      <c r="BF4" t="e">
        <f>AND(Sheet1!A124,"AAAAAB5/izk=")</f>
        <v>#VALUE!</v>
      </c>
      <c r="BG4" t="e">
        <f>AND(Sheet1!B124,"AAAAAB5/izo=")</f>
        <v>#VALUE!</v>
      </c>
      <c r="BH4" t="e">
        <f>AND(Sheet1!C124,"AAAAAB5/izs=")</f>
        <v>#VALUE!</v>
      </c>
      <c r="BI4" t="e">
        <f>AND(Sheet1!D124,"AAAAAB5/izw=")</f>
        <v>#VALUE!</v>
      </c>
      <c r="BJ4" t="e">
        <f>AND(Sheet1!E124,"AAAAAB5/iz0=")</f>
        <v>#VALUE!</v>
      </c>
      <c r="BK4">
        <f>IF(Sheet1!125:125,"AAAAAB5/iz4=",0)</f>
        <v>0</v>
      </c>
      <c r="BL4" t="e">
        <f>AND(Sheet1!A125,"AAAAAB5/iz8=")</f>
        <v>#VALUE!</v>
      </c>
      <c r="BM4" t="e">
        <f>AND(Sheet1!B125,"AAAAAB5/i0A=")</f>
        <v>#VALUE!</v>
      </c>
      <c r="BN4" t="e">
        <f>AND(Sheet1!C125,"AAAAAB5/i0E=")</f>
        <v>#VALUE!</v>
      </c>
      <c r="BO4" t="e">
        <f>AND(Sheet1!D125,"AAAAAB5/i0I=")</f>
        <v>#VALUE!</v>
      </c>
      <c r="BP4" t="e">
        <f>AND(Sheet1!E125,"AAAAAB5/i0M=")</f>
        <v>#VALUE!</v>
      </c>
      <c r="BQ4">
        <f>IF(Sheet1!126:126,"AAAAAB5/i0Q=",0)</f>
        <v>0</v>
      </c>
      <c r="BR4" t="e">
        <f>AND(Sheet1!A126,"AAAAAB5/i0U=")</f>
        <v>#VALUE!</v>
      </c>
      <c r="BS4" t="e">
        <f>AND(Sheet1!B126,"AAAAAB5/i0Y=")</f>
        <v>#VALUE!</v>
      </c>
      <c r="BT4" t="e">
        <f>AND(Sheet1!C126,"AAAAAB5/i0c=")</f>
        <v>#VALUE!</v>
      </c>
      <c r="BU4" t="e">
        <f>AND(Sheet1!D126,"AAAAAB5/i0g=")</f>
        <v>#VALUE!</v>
      </c>
      <c r="BV4" t="e">
        <f>AND(Sheet1!E126,"AAAAAB5/i0k=")</f>
        <v>#VALUE!</v>
      </c>
      <c r="BW4">
        <f>IF(Sheet1!127:127,"AAAAAB5/i0o=",0)</f>
        <v>0</v>
      </c>
      <c r="BX4" t="e">
        <f>AND(Sheet1!A127,"AAAAAB5/i0s=")</f>
        <v>#VALUE!</v>
      </c>
      <c r="BY4" t="e">
        <f>AND(Sheet1!B127,"AAAAAB5/i0w=")</f>
        <v>#VALUE!</v>
      </c>
      <c r="BZ4" t="e">
        <f>AND(Sheet1!C127,"AAAAAB5/i00=")</f>
        <v>#VALUE!</v>
      </c>
      <c r="CA4" t="e">
        <f>AND(Sheet1!D127,"AAAAAB5/i04=")</f>
        <v>#VALUE!</v>
      </c>
      <c r="CB4" t="e">
        <f>AND(Sheet1!E127,"AAAAAB5/i08=")</f>
        <v>#VALUE!</v>
      </c>
      <c r="CC4">
        <f>IF(Sheet1!128:128,"AAAAAB5/i1A=",0)</f>
        <v>0</v>
      </c>
      <c r="CD4" t="e">
        <f>AND(Sheet1!A128,"AAAAAB5/i1E=")</f>
        <v>#VALUE!</v>
      </c>
      <c r="CE4" t="e">
        <f>AND(Sheet1!B128,"AAAAAB5/i1I=")</f>
        <v>#VALUE!</v>
      </c>
      <c r="CF4" t="e">
        <f>AND(Sheet1!C128,"AAAAAB5/i1M=")</f>
        <v>#VALUE!</v>
      </c>
      <c r="CG4" t="e">
        <f>AND(Sheet1!D128,"AAAAAB5/i1Q=")</f>
        <v>#VALUE!</v>
      </c>
      <c r="CH4" t="e">
        <f>AND(Sheet1!E128,"AAAAAB5/i1U=")</f>
        <v>#VALUE!</v>
      </c>
      <c r="CI4">
        <f>IF(Sheet1!129:129,"AAAAAB5/i1Y=",0)</f>
        <v>0</v>
      </c>
      <c r="CJ4" t="e">
        <f>AND(Sheet1!A129,"AAAAAB5/i1c=")</f>
        <v>#VALUE!</v>
      </c>
      <c r="CK4" t="e">
        <f>AND(Sheet1!B129,"AAAAAB5/i1g=")</f>
        <v>#VALUE!</v>
      </c>
      <c r="CL4" t="e">
        <f>AND(Sheet1!C129,"AAAAAB5/i1k=")</f>
        <v>#VALUE!</v>
      </c>
      <c r="CM4" t="e">
        <f>AND(Sheet1!D129,"AAAAAB5/i1o=")</f>
        <v>#VALUE!</v>
      </c>
      <c r="CN4" t="e">
        <f>AND(Sheet1!E129,"AAAAAB5/i1s=")</f>
        <v>#VALUE!</v>
      </c>
      <c r="CO4">
        <f>IF(Sheet1!130:130,"AAAAAB5/i1w=",0)</f>
        <v>0</v>
      </c>
      <c r="CP4" t="e">
        <f>AND(Sheet1!A130,"AAAAAB5/i10=")</f>
        <v>#VALUE!</v>
      </c>
      <c r="CQ4" t="e">
        <f>AND(Sheet1!B130,"AAAAAB5/i14=")</f>
        <v>#VALUE!</v>
      </c>
      <c r="CR4" t="e">
        <f>AND(Sheet1!C130,"AAAAAB5/i18=")</f>
        <v>#VALUE!</v>
      </c>
      <c r="CS4" t="e">
        <f>AND(Sheet1!D130,"AAAAAB5/i2A=")</f>
        <v>#VALUE!</v>
      </c>
      <c r="CT4" t="e">
        <f>AND(Sheet1!E130,"AAAAAB5/i2E=")</f>
        <v>#VALUE!</v>
      </c>
      <c r="CU4">
        <f>IF(Sheet1!131:131,"AAAAAB5/i2I=",0)</f>
        <v>0</v>
      </c>
      <c r="CV4" t="e">
        <f>AND(Sheet1!A131,"AAAAAB5/i2M=")</f>
        <v>#VALUE!</v>
      </c>
      <c r="CW4" t="e">
        <f>AND(Sheet1!B131,"AAAAAB5/i2Q=")</f>
        <v>#VALUE!</v>
      </c>
      <c r="CX4" t="e">
        <f>AND(Sheet1!C131,"AAAAAB5/i2U=")</f>
        <v>#VALUE!</v>
      </c>
      <c r="CY4" t="e">
        <f>AND(Sheet1!D131,"AAAAAB5/i2Y=")</f>
        <v>#VALUE!</v>
      </c>
      <c r="CZ4" t="e">
        <f>AND(Sheet1!E131,"AAAAAB5/i2c=")</f>
        <v>#VALUE!</v>
      </c>
      <c r="DA4">
        <f>IF(Sheet1!132:132,"AAAAAB5/i2g=",0)</f>
        <v>0</v>
      </c>
      <c r="DB4" t="e">
        <f>AND(Sheet1!A132,"AAAAAB5/i2k=")</f>
        <v>#VALUE!</v>
      </c>
      <c r="DC4" t="e">
        <f>AND(Sheet1!B132,"AAAAAB5/i2o=")</f>
        <v>#VALUE!</v>
      </c>
      <c r="DD4" t="e">
        <f>AND(Sheet1!C132,"AAAAAB5/i2s=")</f>
        <v>#VALUE!</v>
      </c>
      <c r="DE4" t="e">
        <f>AND(Sheet1!D132,"AAAAAB5/i2w=")</f>
        <v>#VALUE!</v>
      </c>
      <c r="DF4" t="e">
        <f>AND(Sheet1!E132,"AAAAAB5/i20=")</f>
        <v>#VALUE!</v>
      </c>
      <c r="DG4">
        <f>IF(Sheet1!133:133,"AAAAAB5/i24=",0)</f>
        <v>0</v>
      </c>
      <c r="DH4" t="e">
        <f>AND(Sheet1!A133,"AAAAAB5/i28=")</f>
        <v>#VALUE!</v>
      </c>
      <c r="DI4" t="e">
        <f>AND(Sheet1!B133,"AAAAAB5/i3A=")</f>
        <v>#VALUE!</v>
      </c>
      <c r="DJ4" t="e">
        <f>AND(Sheet1!C133,"AAAAAB5/i3E=")</f>
        <v>#VALUE!</v>
      </c>
      <c r="DK4" t="e">
        <f>AND(Sheet1!D133,"AAAAAB5/i3I=")</f>
        <v>#VALUE!</v>
      </c>
      <c r="DL4" t="e">
        <f>AND(Sheet1!E133,"AAAAAB5/i3M=")</f>
        <v>#VALUE!</v>
      </c>
      <c r="DM4">
        <f>IF(Sheet1!134:134,"AAAAAB5/i3Q=",0)</f>
        <v>0</v>
      </c>
      <c r="DN4" t="e">
        <f>AND(Sheet1!A134,"AAAAAB5/i3U=")</f>
        <v>#VALUE!</v>
      </c>
      <c r="DO4" t="e">
        <f>AND(Sheet1!B134,"AAAAAB5/i3Y=")</f>
        <v>#VALUE!</v>
      </c>
      <c r="DP4" t="e">
        <f>AND(Sheet1!C134,"AAAAAB5/i3c=")</f>
        <v>#VALUE!</v>
      </c>
      <c r="DQ4" t="e">
        <f>AND(Sheet1!D134,"AAAAAB5/i3g=")</f>
        <v>#VALUE!</v>
      </c>
      <c r="DR4" t="e">
        <f>AND(Sheet1!E134,"AAAAAB5/i3k=")</f>
        <v>#VALUE!</v>
      </c>
      <c r="DS4">
        <f>IF(Sheet1!135:135,"AAAAAB5/i3o=",0)</f>
        <v>0</v>
      </c>
      <c r="DT4" t="e">
        <f>AND(Sheet1!A135,"AAAAAB5/i3s=")</f>
        <v>#VALUE!</v>
      </c>
      <c r="DU4" t="e">
        <f>AND(Sheet1!B135,"AAAAAB5/i3w=")</f>
        <v>#VALUE!</v>
      </c>
      <c r="DV4" t="e">
        <f>AND(Sheet1!C135,"AAAAAB5/i30=")</f>
        <v>#VALUE!</v>
      </c>
      <c r="DW4" t="e">
        <f>AND(Sheet1!D135,"AAAAAB5/i34=")</f>
        <v>#VALUE!</v>
      </c>
      <c r="DX4" t="e">
        <f>AND(Sheet1!E135,"AAAAAB5/i38=")</f>
        <v>#VALUE!</v>
      </c>
      <c r="DY4">
        <f>IF(Sheet1!136:136,"AAAAAB5/i4A=",0)</f>
        <v>0</v>
      </c>
      <c r="DZ4" t="e">
        <f>AND(Sheet1!A136,"AAAAAB5/i4E=")</f>
        <v>#VALUE!</v>
      </c>
      <c r="EA4" t="e">
        <f>AND(Sheet1!B136,"AAAAAB5/i4I=")</f>
        <v>#VALUE!</v>
      </c>
      <c r="EB4" t="e">
        <f>AND(Sheet1!C136,"AAAAAB5/i4M=")</f>
        <v>#VALUE!</v>
      </c>
      <c r="EC4" t="e">
        <f>AND(Sheet1!D136,"AAAAAB5/i4Q=")</f>
        <v>#VALUE!</v>
      </c>
      <c r="ED4" t="e">
        <f>AND(Sheet1!E136,"AAAAAB5/i4U=")</f>
        <v>#VALUE!</v>
      </c>
      <c r="EE4">
        <f>IF(Sheet1!137:137,"AAAAAB5/i4Y=",0)</f>
        <v>0</v>
      </c>
      <c r="EF4" t="e">
        <f>AND(Sheet1!A137,"AAAAAB5/i4c=")</f>
        <v>#VALUE!</v>
      </c>
      <c r="EG4" t="e">
        <f>AND(Sheet1!B137,"AAAAAB5/i4g=")</f>
        <v>#VALUE!</v>
      </c>
      <c r="EH4" t="e">
        <f>AND(Sheet1!C137,"AAAAAB5/i4k=")</f>
        <v>#VALUE!</v>
      </c>
      <c r="EI4" t="e">
        <f>AND(Sheet1!D137,"AAAAAB5/i4o=")</f>
        <v>#VALUE!</v>
      </c>
      <c r="EJ4" t="e">
        <f>AND(Sheet1!E137,"AAAAAB5/i4s=")</f>
        <v>#VALUE!</v>
      </c>
      <c r="EK4">
        <f>IF(Sheet1!138:138,"AAAAAB5/i4w=",0)</f>
        <v>0</v>
      </c>
      <c r="EL4" t="e">
        <f>AND(Sheet1!A138,"AAAAAB5/i40=")</f>
        <v>#VALUE!</v>
      </c>
      <c r="EM4" t="e">
        <f>AND(Sheet1!B138,"AAAAAB5/i44=")</f>
        <v>#VALUE!</v>
      </c>
      <c r="EN4" t="e">
        <f>AND(Sheet1!C138,"AAAAAB5/i48=")</f>
        <v>#VALUE!</v>
      </c>
      <c r="EO4" t="e">
        <f>AND(Sheet1!D138,"AAAAAB5/i5A=")</f>
        <v>#VALUE!</v>
      </c>
      <c r="EP4" t="e">
        <f>AND(Sheet1!E138,"AAAAAB5/i5E=")</f>
        <v>#VALUE!</v>
      </c>
      <c r="EQ4">
        <f>IF(Sheet1!139:139,"AAAAAB5/i5I=",0)</f>
        <v>0</v>
      </c>
      <c r="ER4" t="e">
        <f>AND(Sheet1!A139,"AAAAAB5/i5M=")</f>
        <v>#VALUE!</v>
      </c>
      <c r="ES4" t="e">
        <f>AND(Sheet1!B139,"AAAAAB5/i5Q=")</f>
        <v>#VALUE!</v>
      </c>
      <c r="ET4" t="e">
        <f>AND(Sheet1!C139,"AAAAAB5/i5U=")</f>
        <v>#VALUE!</v>
      </c>
      <c r="EU4" t="e">
        <f>AND(Sheet1!D139,"AAAAAB5/i5Y=")</f>
        <v>#VALUE!</v>
      </c>
      <c r="EV4" t="e">
        <f>AND(Sheet1!E139,"AAAAAB5/i5c=")</f>
        <v>#VALUE!</v>
      </c>
      <c r="EW4">
        <f>IF(Sheet1!140:140,"AAAAAB5/i5g=",0)</f>
        <v>0</v>
      </c>
      <c r="EX4" t="e">
        <f>AND(Sheet1!A140,"AAAAAB5/i5k=")</f>
        <v>#VALUE!</v>
      </c>
      <c r="EY4" t="e">
        <f>AND(Sheet1!B140,"AAAAAB5/i5o=")</f>
        <v>#VALUE!</v>
      </c>
      <c r="EZ4" t="e">
        <f>AND(Sheet1!C140,"AAAAAB5/i5s=")</f>
        <v>#VALUE!</v>
      </c>
      <c r="FA4" t="e">
        <f>AND(Sheet1!D140,"AAAAAB5/i5w=")</f>
        <v>#VALUE!</v>
      </c>
      <c r="FB4" t="e">
        <f>AND(Sheet1!E140,"AAAAAB5/i50=")</f>
        <v>#VALUE!</v>
      </c>
      <c r="FC4">
        <f>IF(Sheet1!141:141,"AAAAAB5/i54=",0)</f>
        <v>0</v>
      </c>
      <c r="FD4" t="e">
        <f>AND(Sheet1!A141,"AAAAAB5/i58=")</f>
        <v>#VALUE!</v>
      </c>
      <c r="FE4" t="e">
        <f>AND(Sheet1!B141,"AAAAAB5/i6A=")</f>
        <v>#VALUE!</v>
      </c>
      <c r="FF4" t="e">
        <f>AND(Sheet1!C141,"AAAAAB5/i6E=")</f>
        <v>#VALUE!</v>
      </c>
      <c r="FG4" t="e">
        <f>AND(Sheet1!D141,"AAAAAB5/i6I=")</f>
        <v>#VALUE!</v>
      </c>
      <c r="FH4" t="e">
        <f>AND(Sheet1!E141,"AAAAAB5/i6M=")</f>
        <v>#VALUE!</v>
      </c>
      <c r="FI4">
        <f>IF(Sheet1!142:142,"AAAAAB5/i6Q=",0)</f>
        <v>0</v>
      </c>
      <c r="FJ4" t="e">
        <f>AND(Sheet1!A142,"AAAAAB5/i6U=")</f>
        <v>#VALUE!</v>
      </c>
      <c r="FK4" t="e">
        <f>AND(Sheet1!B142,"AAAAAB5/i6Y=")</f>
        <v>#VALUE!</v>
      </c>
      <c r="FL4" t="e">
        <f>AND(Sheet1!C142,"AAAAAB5/i6c=")</f>
        <v>#VALUE!</v>
      </c>
      <c r="FM4" t="e">
        <f>AND(Sheet1!D142,"AAAAAB5/i6g=")</f>
        <v>#VALUE!</v>
      </c>
      <c r="FN4" t="e">
        <f>AND(Sheet1!E142,"AAAAAB5/i6k=")</f>
        <v>#VALUE!</v>
      </c>
      <c r="FO4">
        <f>IF(Sheet1!143:143,"AAAAAB5/i6o=",0)</f>
        <v>0</v>
      </c>
      <c r="FP4" t="e">
        <f>AND(Sheet1!A143,"AAAAAB5/i6s=")</f>
        <v>#VALUE!</v>
      </c>
      <c r="FQ4" t="e">
        <f>AND(Sheet1!B143,"AAAAAB5/i6w=")</f>
        <v>#VALUE!</v>
      </c>
      <c r="FR4" t="e">
        <f>AND(Sheet1!C143,"AAAAAB5/i60=")</f>
        <v>#VALUE!</v>
      </c>
      <c r="FS4" t="e">
        <f>AND(Sheet1!D143,"AAAAAB5/i64=")</f>
        <v>#VALUE!</v>
      </c>
      <c r="FT4" t="e">
        <f>AND(Sheet1!E143,"AAAAAB5/i68=")</f>
        <v>#VALUE!</v>
      </c>
      <c r="FU4">
        <f>IF(Sheet1!144:144,"AAAAAB5/i7A=",0)</f>
        <v>0</v>
      </c>
      <c r="FV4" t="e">
        <f>AND(Sheet1!A144,"AAAAAB5/i7E=")</f>
        <v>#VALUE!</v>
      </c>
      <c r="FW4" t="e">
        <f>AND(Sheet1!B144,"AAAAAB5/i7I=")</f>
        <v>#VALUE!</v>
      </c>
      <c r="FX4" t="e">
        <f>AND(Sheet1!C144,"AAAAAB5/i7M=")</f>
        <v>#VALUE!</v>
      </c>
      <c r="FY4" t="e">
        <f>AND(Sheet1!D144,"AAAAAB5/i7Q=")</f>
        <v>#VALUE!</v>
      </c>
      <c r="FZ4" t="e">
        <f>AND(Sheet1!E144,"AAAAAB5/i7U=")</f>
        <v>#VALUE!</v>
      </c>
      <c r="GA4">
        <f>IF(Sheet1!145:145,"AAAAAB5/i7Y=",0)</f>
        <v>0</v>
      </c>
      <c r="GB4" t="e">
        <f>AND(Sheet1!A145,"AAAAAB5/i7c=")</f>
        <v>#VALUE!</v>
      </c>
      <c r="GC4" t="e">
        <f>AND(Sheet1!B145,"AAAAAB5/i7g=")</f>
        <v>#VALUE!</v>
      </c>
      <c r="GD4" t="e">
        <f>AND(Sheet1!C145,"AAAAAB5/i7k=")</f>
        <v>#VALUE!</v>
      </c>
      <c r="GE4" t="e">
        <f>AND(Sheet1!D145,"AAAAAB5/i7o=")</f>
        <v>#VALUE!</v>
      </c>
      <c r="GF4" t="e">
        <f>AND(Sheet1!E145,"AAAAAB5/i7s=")</f>
        <v>#VALUE!</v>
      </c>
      <c r="GG4">
        <f>IF(Sheet1!146:146,"AAAAAB5/i7w=",0)</f>
        <v>0</v>
      </c>
      <c r="GH4" t="e">
        <f>AND(Sheet1!A146,"AAAAAB5/i70=")</f>
        <v>#VALUE!</v>
      </c>
      <c r="GI4" t="e">
        <f>AND(Sheet1!B146,"AAAAAB5/i74=")</f>
        <v>#VALUE!</v>
      </c>
      <c r="GJ4" t="e">
        <f>AND(Sheet1!C146,"AAAAAB5/i78=")</f>
        <v>#VALUE!</v>
      </c>
      <c r="GK4" t="e">
        <f>AND(Sheet1!D146,"AAAAAB5/i8A=")</f>
        <v>#VALUE!</v>
      </c>
      <c r="GL4" t="e">
        <f>AND(Sheet1!E146,"AAAAAB5/i8E=")</f>
        <v>#VALUE!</v>
      </c>
      <c r="GM4">
        <f>IF(Sheet1!147:147,"AAAAAB5/i8I=",0)</f>
        <v>0</v>
      </c>
      <c r="GN4" t="e">
        <f>AND(Sheet1!A147,"AAAAAB5/i8M=")</f>
        <v>#VALUE!</v>
      </c>
      <c r="GO4" t="e">
        <f>AND(Sheet1!B147,"AAAAAB5/i8Q=")</f>
        <v>#VALUE!</v>
      </c>
      <c r="GP4" t="e">
        <f>AND(Sheet1!C147,"AAAAAB5/i8U=")</f>
        <v>#VALUE!</v>
      </c>
      <c r="GQ4" t="e">
        <f>AND(Sheet1!D147,"AAAAAB5/i8Y=")</f>
        <v>#VALUE!</v>
      </c>
      <c r="GR4" t="e">
        <f>AND(Sheet1!E147,"AAAAAB5/i8c=")</f>
        <v>#VALUE!</v>
      </c>
      <c r="GS4">
        <f>IF(Sheet1!148:148,"AAAAAB5/i8g=",0)</f>
        <v>0</v>
      </c>
      <c r="GT4" t="e">
        <f>AND(Sheet1!A148,"AAAAAB5/i8k=")</f>
        <v>#VALUE!</v>
      </c>
      <c r="GU4" t="e">
        <f>AND(Sheet1!B148,"AAAAAB5/i8o=")</f>
        <v>#VALUE!</v>
      </c>
      <c r="GV4" t="e">
        <f>AND(Sheet1!C148,"AAAAAB5/i8s=")</f>
        <v>#VALUE!</v>
      </c>
      <c r="GW4" t="e">
        <f>AND(Sheet1!D148,"AAAAAB5/i8w=")</f>
        <v>#VALUE!</v>
      </c>
      <c r="GX4" t="e">
        <f>AND(Sheet1!E148,"AAAAAB5/i80=")</f>
        <v>#VALUE!</v>
      </c>
      <c r="GY4">
        <f>IF(Sheet1!149:149,"AAAAAB5/i84=",0)</f>
        <v>0</v>
      </c>
      <c r="GZ4" t="e">
        <f>AND(Sheet1!A149,"AAAAAB5/i88=")</f>
        <v>#VALUE!</v>
      </c>
      <c r="HA4" t="e">
        <f>AND(Sheet1!B149,"AAAAAB5/i9A=")</f>
        <v>#VALUE!</v>
      </c>
      <c r="HB4" t="e">
        <f>AND(Sheet1!C149,"AAAAAB5/i9E=")</f>
        <v>#VALUE!</v>
      </c>
      <c r="HC4" t="e">
        <f>AND(Sheet1!D149,"AAAAAB5/i9I=")</f>
        <v>#VALUE!</v>
      </c>
      <c r="HD4" t="e">
        <f>AND(Sheet1!E149,"AAAAAB5/i9M=")</f>
        <v>#VALUE!</v>
      </c>
      <c r="HE4">
        <f>IF(Sheet1!150:150,"AAAAAB5/i9Q=",0)</f>
        <v>0</v>
      </c>
      <c r="HF4" t="e">
        <f>AND(Sheet1!A150,"AAAAAB5/i9U=")</f>
        <v>#VALUE!</v>
      </c>
      <c r="HG4" t="e">
        <f>AND(Sheet1!B150,"AAAAAB5/i9Y=")</f>
        <v>#VALUE!</v>
      </c>
      <c r="HH4" t="e">
        <f>AND(Sheet1!C150,"AAAAAB5/i9c=")</f>
        <v>#VALUE!</v>
      </c>
      <c r="HI4" t="e">
        <f>AND(Sheet1!D150,"AAAAAB5/i9g=")</f>
        <v>#VALUE!</v>
      </c>
      <c r="HJ4" t="e">
        <f>AND(Sheet1!E150,"AAAAAB5/i9k=")</f>
        <v>#VALUE!</v>
      </c>
      <c r="HK4">
        <f>IF(Sheet1!151:151,"AAAAAB5/i9o=",0)</f>
        <v>0</v>
      </c>
      <c r="HL4" t="e">
        <f>AND(Sheet1!A151,"AAAAAB5/i9s=")</f>
        <v>#VALUE!</v>
      </c>
      <c r="HM4" t="e">
        <f>AND(Sheet1!B151,"AAAAAB5/i9w=")</f>
        <v>#VALUE!</v>
      </c>
      <c r="HN4" t="e">
        <f>AND(Sheet1!C151,"AAAAAB5/i90=")</f>
        <v>#VALUE!</v>
      </c>
      <c r="HO4" t="e">
        <f>AND(Sheet1!D151,"AAAAAB5/i94=")</f>
        <v>#VALUE!</v>
      </c>
      <c r="HP4" t="e">
        <f>AND(Sheet1!E151,"AAAAAB5/i98=")</f>
        <v>#VALUE!</v>
      </c>
      <c r="HQ4">
        <f>IF(Sheet1!152:152,"AAAAAB5/i+A=",0)</f>
        <v>0</v>
      </c>
      <c r="HR4" t="e">
        <f>AND(Sheet1!A152,"AAAAAB5/i+E=")</f>
        <v>#VALUE!</v>
      </c>
      <c r="HS4" t="e">
        <f>AND(Sheet1!B152,"AAAAAB5/i+I=")</f>
        <v>#VALUE!</v>
      </c>
      <c r="HT4" t="e">
        <f>AND(Sheet1!C152,"AAAAAB5/i+M=")</f>
        <v>#VALUE!</v>
      </c>
      <c r="HU4" t="e">
        <f>AND(Sheet1!D152,"AAAAAB5/i+Q=")</f>
        <v>#VALUE!</v>
      </c>
      <c r="HV4" t="e">
        <f>AND(Sheet1!E152,"AAAAAB5/i+U=")</f>
        <v>#VALUE!</v>
      </c>
      <c r="HW4">
        <f>IF(Sheet1!153:153,"AAAAAB5/i+Y=",0)</f>
        <v>0</v>
      </c>
      <c r="HX4" t="e">
        <f>AND(Sheet1!A153,"AAAAAB5/i+c=")</f>
        <v>#VALUE!</v>
      </c>
      <c r="HY4" t="e">
        <f>AND(Sheet1!B153,"AAAAAB5/i+g=")</f>
        <v>#VALUE!</v>
      </c>
      <c r="HZ4" t="e">
        <f>AND(Sheet1!C153,"AAAAAB5/i+k=")</f>
        <v>#VALUE!</v>
      </c>
      <c r="IA4" t="e">
        <f>AND(Sheet1!D153,"AAAAAB5/i+o=")</f>
        <v>#VALUE!</v>
      </c>
      <c r="IB4" t="e">
        <f>AND(Sheet1!E153,"AAAAAB5/i+s=")</f>
        <v>#VALUE!</v>
      </c>
      <c r="IC4">
        <f>IF(Sheet1!154:154,"AAAAAB5/i+w=",0)</f>
        <v>0</v>
      </c>
      <c r="ID4" t="e">
        <f>AND(Sheet1!A154,"AAAAAB5/i+0=")</f>
        <v>#VALUE!</v>
      </c>
      <c r="IE4" t="e">
        <f>AND(Sheet1!B154,"AAAAAB5/i+4=")</f>
        <v>#VALUE!</v>
      </c>
      <c r="IF4" t="e">
        <f>AND(Sheet1!C154,"AAAAAB5/i+8=")</f>
        <v>#VALUE!</v>
      </c>
      <c r="IG4" t="e">
        <f>AND(Sheet1!D154,"AAAAAB5/i/A=")</f>
        <v>#VALUE!</v>
      </c>
      <c r="IH4" t="e">
        <f>AND(Sheet1!E154,"AAAAAB5/i/E=")</f>
        <v>#VALUE!</v>
      </c>
      <c r="II4">
        <f>IF(Sheet1!155:155,"AAAAAB5/i/I=",0)</f>
        <v>0</v>
      </c>
      <c r="IJ4" t="e">
        <f>AND(Sheet1!A155,"AAAAAB5/i/M=")</f>
        <v>#VALUE!</v>
      </c>
      <c r="IK4" t="e">
        <f>AND(Sheet1!B155,"AAAAAB5/i/Q=")</f>
        <v>#VALUE!</v>
      </c>
      <c r="IL4" t="e">
        <f>AND(Sheet1!C155,"AAAAAB5/i/U=")</f>
        <v>#VALUE!</v>
      </c>
      <c r="IM4" t="e">
        <f>AND(Sheet1!D155,"AAAAAB5/i/Y=")</f>
        <v>#VALUE!</v>
      </c>
      <c r="IN4" t="e">
        <f>AND(Sheet1!E155,"AAAAAB5/i/c=")</f>
        <v>#VALUE!</v>
      </c>
      <c r="IO4">
        <f>IF(Sheet1!156:156,"AAAAAB5/i/g=",0)</f>
        <v>0</v>
      </c>
      <c r="IP4" t="e">
        <f>AND(Sheet1!A156,"AAAAAB5/i/k=")</f>
        <v>#VALUE!</v>
      </c>
      <c r="IQ4" t="e">
        <f>AND(Sheet1!B156,"AAAAAB5/i/o=")</f>
        <v>#VALUE!</v>
      </c>
      <c r="IR4" t="e">
        <f>AND(Sheet1!C156,"AAAAAB5/i/s=")</f>
        <v>#VALUE!</v>
      </c>
      <c r="IS4" t="e">
        <f>AND(Sheet1!D156,"AAAAAB5/i/w=")</f>
        <v>#VALUE!</v>
      </c>
      <c r="IT4" t="e">
        <f>AND(Sheet1!E156,"AAAAAB5/i/0=")</f>
        <v>#VALUE!</v>
      </c>
      <c r="IU4">
        <f>IF(Sheet1!157:157,"AAAAAB5/i/4=",0)</f>
        <v>0</v>
      </c>
      <c r="IV4" t="e">
        <f>AND(Sheet1!A157,"AAAAAB5/i/8=")</f>
        <v>#VALUE!</v>
      </c>
    </row>
    <row r="5" spans="1:256" ht="15">
      <c r="A5" t="e">
        <f>AND(Sheet1!B157,"AAAAAD9X/gA=")</f>
        <v>#VALUE!</v>
      </c>
      <c r="B5" t="e">
        <f>AND(Sheet1!C157,"AAAAAD9X/gE=")</f>
        <v>#VALUE!</v>
      </c>
      <c r="C5" t="e">
        <f>AND(Sheet1!D157,"AAAAAD9X/gI=")</f>
        <v>#VALUE!</v>
      </c>
      <c r="D5" t="e">
        <f>AND(Sheet1!E157,"AAAAAD9X/gM=")</f>
        <v>#VALUE!</v>
      </c>
      <c r="E5" t="e">
        <f>IF(Sheet1!158:158,"AAAAAD9X/gQ=",0)</f>
        <v>#VALUE!</v>
      </c>
      <c r="F5" t="e">
        <f>AND(Sheet1!A158,"AAAAAD9X/gU=")</f>
        <v>#VALUE!</v>
      </c>
      <c r="G5" t="e">
        <f>AND(Sheet1!B158,"AAAAAD9X/gY=")</f>
        <v>#VALUE!</v>
      </c>
      <c r="H5" t="e">
        <f>AND(Sheet1!C158,"AAAAAD9X/gc=")</f>
        <v>#VALUE!</v>
      </c>
      <c r="I5" t="e">
        <f>AND(Sheet1!D158,"AAAAAD9X/gg=")</f>
        <v>#VALUE!</v>
      </c>
      <c r="J5" t="e">
        <f>AND(Sheet1!E158,"AAAAAD9X/gk=")</f>
        <v>#VALUE!</v>
      </c>
      <c r="K5">
        <f>IF(Sheet1!159:159,"AAAAAD9X/go=",0)</f>
        <v>0</v>
      </c>
      <c r="L5" t="e">
        <f>AND(Sheet1!A159,"AAAAAD9X/gs=")</f>
        <v>#VALUE!</v>
      </c>
      <c r="M5" t="e">
        <f>AND(Sheet1!B159,"AAAAAD9X/gw=")</f>
        <v>#VALUE!</v>
      </c>
      <c r="N5" t="e">
        <f>AND(Sheet1!C159,"AAAAAD9X/g0=")</f>
        <v>#VALUE!</v>
      </c>
      <c r="O5" t="e">
        <f>AND(Sheet1!D159,"AAAAAD9X/g4=")</f>
        <v>#VALUE!</v>
      </c>
      <c r="P5" t="e">
        <f>AND(Sheet1!E159,"AAAAAD9X/g8=")</f>
        <v>#VALUE!</v>
      </c>
      <c r="Q5">
        <f>IF(Sheet1!160:160,"AAAAAD9X/hA=",0)</f>
        <v>0</v>
      </c>
      <c r="R5" t="e">
        <f>AND(Sheet1!A160,"AAAAAD9X/hE=")</f>
        <v>#VALUE!</v>
      </c>
      <c r="S5" t="e">
        <f>AND(Sheet1!B160,"AAAAAD9X/hI=")</f>
        <v>#VALUE!</v>
      </c>
      <c r="T5" t="e">
        <f>AND(Sheet1!C160,"AAAAAD9X/hM=")</f>
        <v>#VALUE!</v>
      </c>
      <c r="U5" t="e">
        <f>AND(Sheet1!D160,"AAAAAD9X/hQ=")</f>
        <v>#VALUE!</v>
      </c>
      <c r="V5" t="e">
        <f>AND(Sheet1!E160,"AAAAAD9X/hU=")</f>
        <v>#VALUE!</v>
      </c>
      <c r="W5">
        <f>IF(Sheet1!161:161,"AAAAAD9X/hY=",0)</f>
        <v>0</v>
      </c>
      <c r="X5" t="e">
        <f>AND(Sheet1!A161,"AAAAAD9X/hc=")</f>
        <v>#VALUE!</v>
      </c>
      <c r="Y5" t="e">
        <f>AND(Sheet1!B161,"AAAAAD9X/hg=")</f>
        <v>#VALUE!</v>
      </c>
      <c r="Z5" t="e">
        <f>AND(Sheet1!C161,"AAAAAD9X/hk=")</f>
        <v>#VALUE!</v>
      </c>
      <c r="AA5" t="e">
        <f>AND(Sheet1!D161,"AAAAAD9X/ho=")</f>
        <v>#VALUE!</v>
      </c>
      <c r="AB5" t="e">
        <f>AND(Sheet1!E161,"AAAAAD9X/hs=")</f>
        <v>#VALUE!</v>
      </c>
      <c r="AC5">
        <f>IF(Sheet1!162:162,"AAAAAD9X/hw=",0)</f>
        <v>0</v>
      </c>
      <c r="AD5" t="e">
        <f>AND(Sheet1!A162,"AAAAAD9X/h0=")</f>
        <v>#VALUE!</v>
      </c>
      <c r="AE5" t="e">
        <f>AND(Sheet1!B162,"AAAAAD9X/h4=")</f>
        <v>#VALUE!</v>
      </c>
      <c r="AF5" t="e">
        <f>AND(Sheet1!C162,"AAAAAD9X/h8=")</f>
        <v>#VALUE!</v>
      </c>
      <c r="AG5" t="e">
        <f>AND(Sheet1!D162,"AAAAAD9X/iA=")</f>
        <v>#VALUE!</v>
      </c>
      <c r="AH5" t="e">
        <f>AND(Sheet1!E162,"AAAAAD9X/iE=")</f>
        <v>#VALUE!</v>
      </c>
      <c r="AI5">
        <f>IF(Sheet1!163:163,"AAAAAD9X/iI=",0)</f>
        <v>0</v>
      </c>
      <c r="AJ5" t="e">
        <f>AND(Sheet1!A163,"AAAAAD9X/iM=")</f>
        <v>#VALUE!</v>
      </c>
      <c r="AK5" t="e">
        <f>AND(Sheet1!B163,"AAAAAD9X/iQ=")</f>
        <v>#VALUE!</v>
      </c>
      <c r="AL5" t="e">
        <f>AND(Sheet1!C163,"AAAAAD9X/iU=")</f>
        <v>#VALUE!</v>
      </c>
      <c r="AM5" t="e">
        <f>AND(Sheet1!D163,"AAAAAD9X/iY=")</f>
        <v>#VALUE!</v>
      </c>
      <c r="AN5" t="e">
        <f>AND(Sheet1!E163,"AAAAAD9X/ic=")</f>
        <v>#VALUE!</v>
      </c>
      <c r="AO5">
        <f>IF(Sheet1!164:164,"AAAAAD9X/ig=",0)</f>
        <v>0</v>
      </c>
      <c r="AP5" t="e">
        <f>AND(Sheet1!A164,"AAAAAD9X/ik=")</f>
        <v>#VALUE!</v>
      </c>
      <c r="AQ5" t="e">
        <f>AND(Sheet1!B164,"AAAAAD9X/io=")</f>
        <v>#VALUE!</v>
      </c>
      <c r="AR5" t="e">
        <f>AND(Sheet1!C164,"AAAAAD9X/is=")</f>
        <v>#VALUE!</v>
      </c>
      <c r="AS5" t="e">
        <f>AND(Sheet1!D164,"AAAAAD9X/iw=")</f>
        <v>#VALUE!</v>
      </c>
      <c r="AT5" t="e">
        <f>AND(Sheet1!E164,"AAAAAD9X/i0=")</f>
        <v>#VALUE!</v>
      </c>
      <c r="AU5">
        <f>IF(Sheet1!165:165,"AAAAAD9X/i4=",0)</f>
        <v>0</v>
      </c>
      <c r="AV5" t="e">
        <f>AND(Sheet1!A165,"AAAAAD9X/i8=")</f>
        <v>#VALUE!</v>
      </c>
      <c r="AW5" t="e">
        <f>AND(Sheet1!B165,"AAAAAD9X/jA=")</f>
        <v>#VALUE!</v>
      </c>
      <c r="AX5" t="e">
        <f>AND(Sheet1!C165,"AAAAAD9X/jE=")</f>
        <v>#VALUE!</v>
      </c>
      <c r="AY5" t="e">
        <f>AND(Sheet1!D165,"AAAAAD9X/jI=")</f>
        <v>#VALUE!</v>
      </c>
      <c r="AZ5" t="e">
        <f>AND(Sheet1!E165,"AAAAAD9X/jM=")</f>
        <v>#VALUE!</v>
      </c>
      <c r="BA5">
        <f>IF(Sheet1!166:166,"AAAAAD9X/jQ=",0)</f>
        <v>0</v>
      </c>
      <c r="BB5" t="e">
        <f>AND(Sheet1!A166,"AAAAAD9X/jU=")</f>
        <v>#VALUE!</v>
      </c>
      <c r="BC5" t="e">
        <f>AND(Sheet1!B166,"AAAAAD9X/jY=")</f>
        <v>#VALUE!</v>
      </c>
      <c r="BD5" t="e">
        <f>AND(Sheet1!C166,"AAAAAD9X/jc=")</f>
        <v>#VALUE!</v>
      </c>
      <c r="BE5" t="e">
        <f>AND(Sheet1!D166,"AAAAAD9X/jg=")</f>
        <v>#VALUE!</v>
      </c>
      <c r="BF5" t="e">
        <f>AND(Sheet1!E166,"AAAAAD9X/jk=")</f>
        <v>#VALUE!</v>
      </c>
      <c r="BG5">
        <f>IF(Sheet1!167:167,"AAAAAD9X/jo=",0)</f>
        <v>0</v>
      </c>
      <c r="BH5" t="e">
        <f>AND(Sheet1!A167,"AAAAAD9X/js=")</f>
        <v>#VALUE!</v>
      </c>
      <c r="BI5" t="e">
        <f>AND(Sheet1!B167,"AAAAAD9X/jw=")</f>
        <v>#VALUE!</v>
      </c>
      <c r="BJ5" t="e">
        <f>AND(Sheet1!C167,"AAAAAD9X/j0=")</f>
        <v>#VALUE!</v>
      </c>
      <c r="BK5" t="e">
        <f>AND(Sheet1!D167,"AAAAAD9X/j4=")</f>
        <v>#VALUE!</v>
      </c>
      <c r="BL5" t="e">
        <f>AND(Sheet1!E167,"AAAAAD9X/j8=")</f>
        <v>#VALUE!</v>
      </c>
      <c r="BM5">
        <f>IF(Sheet1!168:168,"AAAAAD9X/kA=",0)</f>
        <v>0</v>
      </c>
      <c r="BN5" t="e">
        <f>AND(Sheet1!A168,"AAAAAD9X/kE=")</f>
        <v>#VALUE!</v>
      </c>
      <c r="BO5" t="e">
        <f>AND(Sheet1!B168,"AAAAAD9X/kI=")</f>
        <v>#VALUE!</v>
      </c>
      <c r="BP5" t="e">
        <f>AND(Sheet1!C168,"AAAAAD9X/kM=")</f>
        <v>#VALUE!</v>
      </c>
      <c r="BQ5" t="e">
        <f>AND(Sheet1!D168,"AAAAAD9X/kQ=")</f>
        <v>#VALUE!</v>
      </c>
      <c r="BR5" t="e">
        <f>AND(Sheet1!E168,"AAAAAD9X/kU=")</f>
        <v>#VALUE!</v>
      </c>
      <c r="BS5">
        <f>IF(Sheet1!169:169,"AAAAAD9X/kY=",0)</f>
        <v>0</v>
      </c>
      <c r="BT5" t="e">
        <f>AND(Sheet1!A169,"AAAAAD9X/kc=")</f>
        <v>#VALUE!</v>
      </c>
      <c r="BU5" t="e">
        <f>AND(Sheet1!B169,"AAAAAD9X/kg=")</f>
        <v>#VALUE!</v>
      </c>
      <c r="BV5" t="e">
        <f>AND(Sheet1!C169,"AAAAAD9X/kk=")</f>
        <v>#VALUE!</v>
      </c>
      <c r="BW5" t="e">
        <f>AND(Sheet1!D169,"AAAAAD9X/ko=")</f>
        <v>#VALUE!</v>
      </c>
      <c r="BX5" t="e">
        <f>AND(Sheet1!E169,"AAAAAD9X/ks=")</f>
        <v>#VALUE!</v>
      </c>
      <c r="BY5">
        <f>IF(Sheet1!170:170,"AAAAAD9X/kw=",0)</f>
        <v>0</v>
      </c>
      <c r="BZ5" t="e">
        <f>AND(Sheet1!A170,"AAAAAD9X/k0=")</f>
        <v>#VALUE!</v>
      </c>
      <c r="CA5" t="e">
        <f>AND(Sheet1!B170,"AAAAAD9X/k4=")</f>
        <v>#VALUE!</v>
      </c>
      <c r="CB5" t="e">
        <f>AND(Sheet1!C170,"AAAAAD9X/k8=")</f>
        <v>#VALUE!</v>
      </c>
      <c r="CC5" t="e">
        <f>AND(Sheet1!D170,"AAAAAD9X/lA=")</f>
        <v>#VALUE!</v>
      </c>
      <c r="CD5" t="e">
        <f>AND(Sheet1!E170,"AAAAAD9X/lE=")</f>
        <v>#VALUE!</v>
      </c>
      <c r="CE5">
        <f>IF(Sheet1!171:171,"AAAAAD9X/lI=",0)</f>
        <v>0</v>
      </c>
      <c r="CF5" t="e">
        <f>AND(Sheet1!A171,"AAAAAD9X/lM=")</f>
        <v>#VALUE!</v>
      </c>
      <c r="CG5" t="e">
        <f>AND(Sheet1!B171,"AAAAAD9X/lQ=")</f>
        <v>#VALUE!</v>
      </c>
      <c r="CH5" t="e">
        <f>AND(Sheet1!C171,"AAAAAD9X/lU=")</f>
        <v>#VALUE!</v>
      </c>
      <c r="CI5" t="e">
        <f>AND(Sheet1!D171,"AAAAAD9X/lY=")</f>
        <v>#VALUE!</v>
      </c>
      <c r="CJ5" t="e">
        <f>AND(Sheet1!E171,"AAAAAD9X/lc=")</f>
        <v>#VALUE!</v>
      </c>
      <c r="CK5">
        <f>IF(Sheet1!172:172,"AAAAAD9X/lg=",0)</f>
        <v>0</v>
      </c>
      <c r="CL5" t="e">
        <f>AND(Sheet1!A172,"AAAAAD9X/lk=")</f>
        <v>#VALUE!</v>
      </c>
      <c r="CM5" t="e">
        <f>AND(Sheet1!B172,"AAAAAD9X/lo=")</f>
        <v>#VALUE!</v>
      </c>
      <c r="CN5" t="e">
        <f>AND(Sheet1!C172,"AAAAAD9X/ls=")</f>
        <v>#VALUE!</v>
      </c>
      <c r="CO5" t="e">
        <f>AND(Sheet1!D172,"AAAAAD9X/lw=")</f>
        <v>#VALUE!</v>
      </c>
      <c r="CP5" t="e">
        <f>AND(Sheet1!E172,"AAAAAD9X/l0=")</f>
        <v>#VALUE!</v>
      </c>
      <c r="CQ5">
        <f>IF(Sheet1!173:173,"AAAAAD9X/l4=",0)</f>
        <v>0</v>
      </c>
      <c r="CR5" t="e">
        <f>AND(Sheet1!A173,"AAAAAD9X/l8=")</f>
        <v>#VALUE!</v>
      </c>
      <c r="CS5" t="e">
        <f>AND(Sheet1!B173,"AAAAAD9X/mA=")</f>
        <v>#VALUE!</v>
      </c>
      <c r="CT5" t="e">
        <f>AND(Sheet1!C173,"AAAAAD9X/mE=")</f>
        <v>#VALUE!</v>
      </c>
      <c r="CU5" t="e">
        <f>AND(Sheet1!D173,"AAAAAD9X/mI=")</f>
        <v>#VALUE!</v>
      </c>
      <c r="CV5" t="e">
        <f>AND(Sheet1!E173,"AAAAAD9X/mM=")</f>
        <v>#VALUE!</v>
      </c>
      <c r="CW5">
        <f>IF(Sheet1!174:174,"AAAAAD9X/mQ=",0)</f>
        <v>0</v>
      </c>
      <c r="CX5" t="e">
        <f>AND(Sheet1!A174,"AAAAAD9X/mU=")</f>
        <v>#VALUE!</v>
      </c>
      <c r="CY5" t="e">
        <f>AND(Sheet1!B174,"AAAAAD9X/mY=")</f>
        <v>#VALUE!</v>
      </c>
      <c r="CZ5" t="e">
        <f>AND(Sheet1!C174,"AAAAAD9X/mc=")</f>
        <v>#VALUE!</v>
      </c>
      <c r="DA5" t="e">
        <f>AND(Sheet1!D174,"AAAAAD9X/mg=")</f>
        <v>#VALUE!</v>
      </c>
      <c r="DB5" t="e">
        <f>AND(Sheet1!E174,"AAAAAD9X/mk=")</f>
        <v>#VALUE!</v>
      </c>
      <c r="DC5">
        <f>IF(Sheet1!175:175,"AAAAAD9X/mo=",0)</f>
        <v>0</v>
      </c>
      <c r="DD5" t="e">
        <f>AND(Sheet1!A175,"AAAAAD9X/ms=")</f>
        <v>#VALUE!</v>
      </c>
      <c r="DE5" t="e">
        <f>AND(Sheet1!B175,"AAAAAD9X/mw=")</f>
        <v>#VALUE!</v>
      </c>
      <c r="DF5" t="e">
        <f>AND(Sheet1!C175,"AAAAAD9X/m0=")</f>
        <v>#VALUE!</v>
      </c>
      <c r="DG5" t="e">
        <f>AND(Sheet1!D175,"AAAAAD9X/m4=")</f>
        <v>#VALUE!</v>
      </c>
      <c r="DH5" t="e">
        <f>AND(Sheet1!E175,"AAAAAD9X/m8=")</f>
        <v>#VALUE!</v>
      </c>
      <c r="DI5">
        <f>IF(Sheet1!176:176,"AAAAAD9X/nA=",0)</f>
        <v>0</v>
      </c>
      <c r="DJ5" t="e">
        <f>AND(Sheet1!A176,"AAAAAD9X/nE=")</f>
        <v>#VALUE!</v>
      </c>
      <c r="DK5" t="e">
        <f>AND(Sheet1!B176,"AAAAAD9X/nI=")</f>
        <v>#VALUE!</v>
      </c>
      <c r="DL5" t="e">
        <f>AND(Sheet1!C176,"AAAAAD9X/nM=")</f>
        <v>#VALUE!</v>
      </c>
      <c r="DM5" t="e">
        <f>AND(Sheet1!D176,"AAAAAD9X/nQ=")</f>
        <v>#VALUE!</v>
      </c>
      <c r="DN5" t="e">
        <f>AND(Sheet1!E176,"AAAAAD9X/nU=")</f>
        <v>#VALUE!</v>
      </c>
      <c r="DO5">
        <f>IF(Sheet1!177:177,"AAAAAD9X/nY=",0)</f>
        <v>0</v>
      </c>
      <c r="DP5" t="e">
        <f>AND(Sheet1!A177,"AAAAAD9X/nc=")</f>
        <v>#VALUE!</v>
      </c>
      <c r="DQ5" t="e">
        <f>AND(Sheet1!B177,"AAAAAD9X/ng=")</f>
        <v>#VALUE!</v>
      </c>
      <c r="DR5" t="e">
        <f>AND(Sheet1!C177,"AAAAAD9X/nk=")</f>
        <v>#VALUE!</v>
      </c>
      <c r="DS5" t="e">
        <f>AND(Sheet1!D177,"AAAAAD9X/no=")</f>
        <v>#VALUE!</v>
      </c>
      <c r="DT5" t="e">
        <f>AND(Sheet1!E177,"AAAAAD9X/ns=")</f>
        <v>#VALUE!</v>
      </c>
      <c r="DU5">
        <f>IF(Sheet1!178:178,"AAAAAD9X/nw=",0)</f>
        <v>0</v>
      </c>
      <c r="DV5" t="e">
        <f>AND(Sheet1!A178,"AAAAAD9X/n0=")</f>
        <v>#VALUE!</v>
      </c>
      <c r="DW5" t="e">
        <f>AND(Sheet1!B178,"AAAAAD9X/n4=")</f>
        <v>#VALUE!</v>
      </c>
      <c r="DX5" t="e">
        <f>AND(Sheet1!C178,"AAAAAD9X/n8=")</f>
        <v>#VALUE!</v>
      </c>
      <c r="DY5" t="e">
        <f>AND(Sheet1!D178,"AAAAAD9X/oA=")</f>
        <v>#VALUE!</v>
      </c>
      <c r="DZ5" t="e">
        <f>AND(Sheet1!E178,"AAAAAD9X/oE=")</f>
        <v>#VALUE!</v>
      </c>
      <c r="EA5">
        <f>IF(Sheet1!179:179,"AAAAAD9X/oI=",0)</f>
        <v>0</v>
      </c>
      <c r="EB5" t="e">
        <f>AND(Sheet1!A179,"AAAAAD9X/oM=")</f>
        <v>#VALUE!</v>
      </c>
      <c r="EC5" t="e">
        <f>AND(Sheet1!B179,"AAAAAD9X/oQ=")</f>
        <v>#VALUE!</v>
      </c>
      <c r="ED5" t="e">
        <f>AND(Sheet1!C179,"AAAAAD9X/oU=")</f>
        <v>#VALUE!</v>
      </c>
      <c r="EE5" t="e">
        <f>AND(Sheet1!D179,"AAAAAD9X/oY=")</f>
        <v>#VALUE!</v>
      </c>
      <c r="EF5" t="e">
        <f>AND(Sheet1!E179,"AAAAAD9X/oc=")</f>
        <v>#VALUE!</v>
      </c>
      <c r="EG5">
        <f>IF(Sheet1!180:180,"AAAAAD9X/og=",0)</f>
        <v>0</v>
      </c>
      <c r="EH5" t="e">
        <f>AND(Sheet1!A180,"AAAAAD9X/ok=")</f>
        <v>#VALUE!</v>
      </c>
      <c r="EI5" t="e">
        <f>AND(Sheet1!B180,"AAAAAD9X/oo=")</f>
        <v>#VALUE!</v>
      </c>
      <c r="EJ5" t="e">
        <f>AND(Sheet1!C180,"AAAAAD9X/os=")</f>
        <v>#VALUE!</v>
      </c>
      <c r="EK5" t="e">
        <f>AND(Sheet1!D180,"AAAAAD9X/ow=")</f>
        <v>#VALUE!</v>
      </c>
      <c r="EL5" t="e">
        <f>AND(Sheet1!E180,"AAAAAD9X/o0=")</f>
        <v>#VALUE!</v>
      </c>
      <c r="EM5">
        <f>IF(Sheet1!181:181,"AAAAAD9X/o4=",0)</f>
        <v>0</v>
      </c>
      <c r="EN5" t="e">
        <f>AND(Sheet1!A181,"AAAAAD9X/o8=")</f>
        <v>#VALUE!</v>
      </c>
      <c r="EO5" t="e">
        <f>AND(Sheet1!B181,"AAAAAD9X/pA=")</f>
        <v>#VALUE!</v>
      </c>
      <c r="EP5" t="e">
        <f>AND(Sheet1!C181,"AAAAAD9X/pE=")</f>
        <v>#VALUE!</v>
      </c>
      <c r="EQ5" t="e">
        <f>AND(Sheet1!D181,"AAAAAD9X/pI=")</f>
        <v>#VALUE!</v>
      </c>
      <c r="ER5" t="e">
        <f>AND(Sheet1!E181,"AAAAAD9X/pM=")</f>
        <v>#VALUE!</v>
      </c>
      <c r="ES5">
        <f>IF(Sheet1!182:182,"AAAAAD9X/pQ=",0)</f>
        <v>0</v>
      </c>
      <c r="ET5" t="e">
        <f>AND(Sheet1!A182,"AAAAAD9X/pU=")</f>
        <v>#VALUE!</v>
      </c>
      <c r="EU5" t="e">
        <f>AND(Sheet1!B182,"AAAAAD9X/pY=")</f>
        <v>#VALUE!</v>
      </c>
      <c r="EV5" t="e">
        <f>AND(Sheet1!C182,"AAAAAD9X/pc=")</f>
        <v>#VALUE!</v>
      </c>
      <c r="EW5" t="e">
        <f>AND(Sheet1!D182,"AAAAAD9X/pg=")</f>
        <v>#VALUE!</v>
      </c>
      <c r="EX5" t="e">
        <f>AND(Sheet1!E182,"AAAAAD9X/pk=")</f>
        <v>#VALUE!</v>
      </c>
      <c r="EY5">
        <f>IF(Sheet1!183:183,"AAAAAD9X/po=",0)</f>
        <v>0</v>
      </c>
      <c r="EZ5" t="e">
        <f>AND(Sheet1!A183,"AAAAAD9X/ps=")</f>
        <v>#VALUE!</v>
      </c>
      <c r="FA5" t="e">
        <f>AND(Sheet1!B183,"AAAAAD9X/pw=")</f>
        <v>#VALUE!</v>
      </c>
      <c r="FB5" t="e">
        <f>AND(Sheet1!C183,"AAAAAD9X/p0=")</f>
        <v>#VALUE!</v>
      </c>
      <c r="FC5" t="e">
        <f>AND(Sheet1!D183,"AAAAAD9X/p4=")</f>
        <v>#VALUE!</v>
      </c>
      <c r="FD5" t="e">
        <f>AND(Sheet1!E183,"AAAAAD9X/p8=")</f>
        <v>#VALUE!</v>
      </c>
      <c r="FE5">
        <f>IF(Sheet1!184:184,"AAAAAD9X/qA=",0)</f>
        <v>0</v>
      </c>
      <c r="FF5" t="e">
        <f>AND(Sheet1!A184,"AAAAAD9X/qE=")</f>
        <v>#VALUE!</v>
      </c>
      <c r="FG5" t="e">
        <f>AND(Sheet1!B184,"AAAAAD9X/qI=")</f>
        <v>#VALUE!</v>
      </c>
      <c r="FH5" t="e">
        <f>AND(Sheet1!C184,"AAAAAD9X/qM=")</f>
        <v>#VALUE!</v>
      </c>
      <c r="FI5" t="e">
        <f>AND(Sheet1!D184,"AAAAAD9X/qQ=")</f>
        <v>#VALUE!</v>
      </c>
      <c r="FJ5" t="e">
        <f>AND(Sheet1!E184,"AAAAAD9X/qU=")</f>
        <v>#VALUE!</v>
      </c>
      <c r="FK5">
        <f>IF(Sheet1!185:185,"AAAAAD9X/qY=",0)</f>
        <v>0</v>
      </c>
      <c r="FL5" t="e">
        <f>AND(Sheet1!A185,"AAAAAD9X/qc=")</f>
        <v>#VALUE!</v>
      </c>
      <c r="FM5" t="e">
        <f>AND(Sheet1!B185,"AAAAAD9X/qg=")</f>
        <v>#VALUE!</v>
      </c>
      <c r="FN5" t="e">
        <f>AND(Sheet1!C185,"AAAAAD9X/qk=")</f>
        <v>#VALUE!</v>
      </c>
      <c r="FO5" t="e">
        <f>AND(Sheet1!D185,"AAAAAD9X/qo=")</f>
        <v>#VALUE!</v>
      </c>
      <c r="FP5" t="e">
        <f>AND(Sheet1!E185,"AAAAAD9X/qs=")</f>
        <v>#VALUE!</v>
      </c>
      <c r="FQ5">
        <f>IF(Sheet1!186:186,"AAAAAD9X/qw=",0)</f>
        <v>0</v>
      </c>
      <c r="FR5" t="e">
        <f>AND(Sheet1!A186,"AAAAAD9X/q0=")</f>
        <v>#VALUE!</v>
      </c>
      <c r="FS5" t="e">
        <f>AND(Sheet1!B186,"AAAAAD9X/q4=")</f>
        <v>#VALUE!</v>
      </c>
      <c r="FT5" t="e">
        <f>AND(Sheet1!C186,"AAAAAD9X/q8=")</f>
        <v>#VALUE!</v>
      </c>
      <c r="FU5" t="e">
        <f>AND(Sheet1!D186,"AAAAAD9X/rA=")</f>
        <v>#VALUE!</v>
      </c>
      <c r="FV5" t="e">
        <f>AND(Sheet1!E186,"AAAAAD9X/rE=")</f>
        <v>#VALUE!</v>
      </c>
      <c r="FW5">
        <f>IF(Sheet1!187:187,"AAAAAD9X/rI=",0)</f>
        <v>0</v>
      </c>
      <c r="FX5" t="e">
        <f>AND(Sheet1!A187,"AAAAAD9X/rM=")</f>
        <v>#VALUE!</v>
      </c>
      <c r="FY5" t="e">
        <f>AND(Sheet1!B187,"AAAAAD9X/rQ=")</f>
        <v>#VALUE!</v>
      </c>
      <c r="FZ5" t="e">
        <f>AND(Sheet1!C187,"AAAAAD9X/rU=")</f>
        <v>#VALUE!</v>
      </c>
      <c r="GA5" t="e">
        <f>AND(Sheet1!D187,"AAAAAD9X/rY=")</f>
        <v>#VALUE!</v>
      </c>
      <c r="GB5" t="e">
        <f>AND(Sheet1!E187,"AAAAAD9X/rc=")</f>
        <v>#VALUE!</v>
      </c>
      <c r="GC5">
        <f>IF(Sheet1!188:188,"AAAAAD9X/rg=",0)</f>
        <v>0</v>
      </c>
      <c r="GD5" t="e">
        <f>AND(Sheet1!A188,"AAAAAD9X/rk=")</f>
        <v>#VALUE!</v>
      </c>
      <c r="GE5" t="e">
        <f>AND(Sheet1!B188,"AAAAAD9X/ro=")</f>
        <v>#VALUE!</v>
      </c>
      <c r="GF5" t="e">
        <f>AND(Sheet1!C188,"AAAAAD9X/rs=")</f>
        <v>#VALUE!</v>
      </c>
      <c r="GG5" t="e">
        <f>AND(Sheet1!D188,"AAAAAD9X/rw=")</f>
        <v>#VALUE!</v>
      </c>
      <c r="GH5" t="e">
        <f>AND(Sheet1!E188,"AAAAAD9X/r0=")</f>
        <v>#VALUE!</v>
      </c>
      <c r="GI5">
        <f>IF(Sheet1!189:189,"AAAAAD9X/r4=",0)</f>
        <v>0</v>
      </c>
      <c r="GJ5" t="e">
        <f>AND(Sheet1!A189,"AAAAAD9X/r8=")</f>
        <v>#VALUE!</v>
      </c>
      <c r="GK5" t="e">
        <f>AND(Sheet1!B189,"AAAAAD9X/sA=")</f>
        <v>#VALUE!</v>
      </c>
      <c r="GL5" t="e">
        <f>AND(Sheet1!C189,"AAAAAD9X/sE=")</f>
        <v>#VALUE!</v>
      </c>
      <c r="GM5" t="e">
        <f>AND(Sheet1!D189,"AAAAAD9X/sI=")</f>
        <v>#VALUE!</v>
      </c>
      <c r="GN5" t="e">
        <f>AND(Sheet1!E189,"AAAAAD9X/sM=")</f>
        <v>#VALUE!</v>
      </c>
      <c r="GO5">
        <f>IF(Sheet1!190:190,"AAAAAD9X/sQ=",0)</f>
        <v>0</v>
      </c>
      <c r="GP5" t="e">
        <f>AND(Sheet1!A190,"AAAAAD9X/sU=")</f>
        <v>#VALUE!</v>
      </c>
      <c r="GQ5" t="e">
        <f>AND(Sheet1!B190,"AAAAAD9X/sY=")</f>
        <v>#VALUE!</v>
      </c>
      <c r="GR5" t="e">
        <f>AND(Sheet1!C190,"AAAAAD9X/sc=")</f>
        <v>#VALUE!</v>
      </c>
      <c r="GS5" t="e">
        <f>AND(Sheet1!D190,"AAAAAD9X/sg=")</f>
        <v>#VALUE!</v>
      </c>
      <c r="GT5" t="e">
        <f>AND(Sheet1!E190,"AAAAAD9X/sk=")</f>
        <v>#VALUE!</v>
      </c>
      <c r="GU5">
        <f>IF(Sheet1!191:191,"AAAAAD9X/so=",0)</f>
        <v>0</v>
      </c>
      <c r="GV5" t="e">
        <f>AND(Sheet1!A191,"AAAAAD9X/ss=")</f>
        <v>#VALUE!</v>
      </c>
      <c r="GW5" t="e">
        <f>AND(Sheet1!B191,"AAAAAD9X/sw=")</f>
        <v>#VALUE!</v>
      </c>
      <c r="GX5" t="e">
        <f>AND(Sheet1!C191,"AAAAAD9X/s0=")</f>
        <v>#VALUE!</v>
      </c>
      <c r="GY5" t="e">
        <f>AND(Sheet1!D191,"AAAAAD9X/s4=")</f>
        <v>#VALUE!</v>
      </c>
      <c r="GZ5" t="e">
        <f>AND(Sheet1!E191,"AAAAAD9X/s8=")</f>
        <v>#VALUE!</v>
      </c>
      <c r="HA5">
        <f>IF(Sheet1!192:192,"AAAAAD9X/tA=",0)</f>
        <v>0</v>
      </c>
      <c r="HB5" t="e">
        <f>AND(Sheet1!A192,"AAAAAD9X/tE=")</f>
        <v>#VALUE!</v>
      </c>
      <c r="HC5" t="e">
        <f>AND(Sheet1!B192,"AAAAAD9X/tI=")</f>
        <v>#VALUE!</v>
      </c>
      <c r="HD5" t="e">
        <f>AND(Sheet1!C192,"AAAAAD9X/tM=")</f>
        <v>#VALUE!</v>
      </c>
      <c r="HE5" t="e">
        <f>AND(Sheet1!D192,"AAAAAD9X/tQ=")</f>
        <v>#VALUE!</v>
      </c>
      <c r="HF5" t="e">
        <f>AND(Sheet1!E192,"AAAAAD9X/tU=")</f>
        <v>#VALUE!</v>
      </c>
      <c r="HG5">
        <f>IF(Sheet1!193:193,"AAAAAD9X/tY=",0)</f>
        <v>0</v>
      </c>
      <c r="HH5" t="e">
        <f>AND(Sheet1!A193,"AAAAAD9X/tc=")</f>
        <v>#VALUE!</v>
      </c>
      <c r="HI5" t="e">
        <f>AND(Sheet1!B193,"AAAAAD9X/tg=")</f>
        <v>#VALUE!</v>
      </c>
      <c r="HJ5" t="e">
        <f>AND(Sheet1!C193,"AAAAAD9X/tk=")</f>
        <v>#VALUE!</v>
      </c>
      <c r="HK5" t="e">
        <f>AND(Sheet1!D193,"AAAAAD9X/to=")</f>
        <v>#VALUE!</v>
      </c>
      <c r="HL5" t="e">
        <f>AND(Sheet1!E193,"AAAAAD9X/ts=")</f>
        <v>#VALUE!</v>
      </c>
      <c r="HM5">
        <f>IF(Sheet1!194:194,"AAAAAD9X/tw=",0)</f>
        <v>0</v>
      </c>
      <c r="HN5" t="e">
        <f>IF(#REF!,"AAAAAD9X/t0=",0)</f>
        <v>#REF!</v>
      </c>
      <c r="HO5" t="e">
        <f>AND(#REF!,"AAAAAD9X/t4=")</f>
        <v>#REF!</v>
      </c>
      <c r="HP5" t="e">
        <f>AND(#REF!,"AAAAAD9X/t8=")</f>
        <v>#REF!</v>
      </c>
      <c r="HQ5" t="e">
        <f>AND(#REF!,"AAAAAD9X/uA=")</f>
        <v>#REF!</v>
      </c>
      <c r="HR5" t="e">
        <f>AND(#REF!,"AAAAAD9X/uE=")</f>
        <v>#REF!</v>
      </c>
      <c r="HS5" t="e">
        <f>AND(#REF!,"AAAAAD9X/uI=")</f>
        <v>#REF!</v>
      </c>
      <c r="HT5" t="e">
        <f>AND(#REF!,"AAAAAD9X/uM=")</f>
        <v>#REF!</v>
      </c>
      <c r="HU5" t="e">
        <f>AND(#REF!,"AAAAAD9X/uQ=")</f>
        <v>#REF!</v>
      </c>
      <c r="HV5" t="e">
        <f>AND(#REF!,"AAAAAD9X/uU=")</f>
        <v>#REF!</v>
      </c>
      <c r="HW5" t="e">
        <f>AND(#REF!,"AAAAAD9X/uY=")</f>
        <v>#REF!</v>
      </c>
      <c r="HX5" t="e">
        <f>IF(#REF!,"AAAAAD9X/uc=",0)</f>
        <v>#REF!</v>
      </c>
      <c r="HY5" t="e">
        <f>AND(#REF!,"AAAAAD9X/ug=")</f>
        <v>#REF!</v>
      </c>
      <c r="HZ5" t="e">
        <f>AND(#REF!,"AAAAAD9X/uk=")</f>
        <v>#REF!</v>
      </c>
      <c r="IA5" t="e">
        <f>AND(#REF!,"AAAAAD9X/uo=")</f>
        <v>#REF!</v>
      </c>
      <c r="IB5" t="e">
        <f>AND(#REF!,"AAAAAD9X/us=")</f>
        <v>#REF!</v>
      </c>
      <c r="IC5" t="e">
        <f>AND(#REF!,"AAAAAD9X/uw=")</f>
        <v>#REF!</v>
      </c>
      <c r="ID5" t="e">
        <f>AND(#REF!,"AAAAAD9X/u0=")</f>
        <v>#REF!</v>
      </c>
      <c r="IE5" t="e">
        <f>AND(#REF!,"AAAAAD9X/u4=")</f>
        <v>#REF!</v>
      </c>
      <c r="IF5" t="e">
        <f>AND(#REF!,"AAAAAD9X/u8=")</f>
        <v>#REF!</v>
      </c>
      <c r="IG5" t="e">
        <f>AND(#REF!,"AAAAAD9X/vA=")</f>
        <v>#REF!</v>
      </c>
      <c r="IH5" t="e">
        <f>IF(#REF!,"AAAAAD9X/vE=",0)</f>
        <v>#REF!</v>
      </c>
      <c r="II5" t="e">
        <f>AND(#REF!,"AAAAAD9X/vI=")</f>
        <v>#REF!</v>
      </c>
      <c r="IJ5" t="e">
        <f>AND(#REF!,"AAAAAD9X/vM=")</f>
        <v>#REF!</v>
      </c>
      <c r="IK5" t="e">
        <f>AND(#REF!,"AAAAAD9X/vQ=")</f>
        <v>#REF!</v>
      </c>
      <c r="IL5" t="e">
        <f>AND(#REF!,"AAAAAD9X/vU=")</f>
        <v>#REF!</v>
      </c>
      <c r="IM5" t="e">
        <f>AND(#REF!,"AAAAAD9X/vY=")</f>
        <v>#REF!</v>
      </c>
      <c r="IN5" t="e">
        <f>AND(#REF!,"AAAAAD9X/vc=")</f>
        <v>#REF!</v>
      </c>
      <c r="IO5" t="e">
        <f>AND(#REF!,"AAAAAD9X/vg=")</f>
        <v>#REF!</v>
      </c>
      <c r="IP5" t="e">
        <f>AND(#REF!,"AAAAAD9X/vk=")</f>
        <v>#REF!</v>
      </c>
      <c r="IQ5" t="e">
        <f>AND(#REF!,"AAAAAD9X/vo=")</f>
        <v>#REF!</v>
      </c>
      <c r="IR5" t="e">
        <f>IF(#REF!,"AAAAAD9X/vs=",0)</f>
        <v>#REF!</v>
      </c>
      <c r="IS5" t="e">
        <f>AND(#REF!,"AAAAAD9X/vw=")</f>
        <v>#REF!</v>
      </c>
      <c r="IT5" t="e">
        <f>AND(#REF!,"AAAAAD9X/v0=")</f>
        <v>#REF!</v>
      </c>
      <c r="IU5" t="e">
        <f>AND(#REF!,"AAAAAD9X/v4=")</f>
        <v>#REF!</v>
      </c>
      <c r="IV5" t="e">
        <f>AND(#REF!,"AAAAAD9X/v8=")</f>
        <v>#REF!</v>
      </c>
    </row>
    <row r="6" spans="1:256" ht="15">
      <c r="A6" t="e">
        <f>AND(#REF!,"AAAAAH3X9QA=")</f>
        <v>#REF!</v>
      </c>
      <c r="B6" t="e">
        <f>AND(#REF!,"AAAAAH3X9QE=")</f>
        <v>#REF!</v>
      </c>
      <c r="C6" t="e">
        <f>AND(#REF!,"AAAAAH3X9QI=")</f>
        <v>#REF!</v>
      </c>
      <c r="D6" t="e">
        <f>AND(#REF!,"AAAAAH3X9QM=")</f>
        <v>#REF!</v>
      </c>
      <c r="E6" t="e">
        <f>AND(#REF!,"AAAAAH3X9QQ=")</f>
        <v>#REF!</v>
      </c>
      <c r="F6" t="e">
        <f>IF(#REF!,"AAAAAH3X9QU=",0)</f>
        <v>#REF!</v>
      </c>
      <c r="G6" t="e">
        <f>AND(#REF!,"AAAAAH3X9QY=")</f>
        <v>#REF!</v>
      </c>
      <c r="H6" t="e">
        <f>AND(#REF!,"AAAAAH3X9Qc=")</f>
        <v>#REF!</v>
      </c>
      <c r="I6" t="e">
        <f>AND(#REF!,"AAAAAH3X9Qg=")</f>
        <v>#REF!</v>
      </c>
      <c r="J6" t="e">
        <f>AND(#REF!,"AAAAAH3X9Qk=")</f>
        <v>#REF!</v>
      </c>
      <c r="K6" t="e">
        <f>AND(#REF!,"AAAAAH3X9Qo=")</f>
        <v>#REF!</v>
      </c>
      <c r="L6" t="e">
        <f>AND(#REF!,"AAAAAH3X9Qs=")</f>
        <v>#REF!</v>
      </c>
      <c r="M6" t="e">
        <f>AND(#REF!,"AAAAAH3X9Qw=")</f>
        <v>#REF!</v>
      </c>
      <c r="N6" t="e">
        <f>AND(#REF!,"AAAAAH3X9Q0=")</f>
        <v>#REF!</v>
      </c>
      <c r="O6" t="e">
        <f>AND(#REF!,"AAAAAH3X9Q4=")</f>
        <v>#REF!</v>
      </c>
      <c r="P6" t="e">
        <f>IF(#REF!,"AAAAAH3X9Q8=",0)</f>
        <v>#REF!</v>
      </c>
      <c r="Q6" t="e">
        <f>AND(#REF!,"AAAAAH3X9RA=")</f>
        <v>#REF!</v>
      </c>
      <c r="R6" t="e">
        <f>AND(#REF!,"AAAAAH3X9RE=")</f>
        <v>#REF!</v>
      </c>
      <c r="S6" t="e">
        <f>AND(#REF!,"AAAAAH3X9RI=")</f>
        <v>#REF!</v>
      </c>
      <c r="T6" t="e">
        <f>AND(#REF!,"AAAAAH3X9RM=")</f>
        <v>#REF!</v>
      </c>
      <c r="U6" t="e">
        <f>AND(#REF!,"AAAAAH3X9RQ=")</f>
        <v>#REF!</v>
      </c>
      <c r="V6" t="e">
        <f>AND(#REF!,"AAAAAH3X9RU=")</f>
        <v>#REF!</v>
      </c>
      <c r="W6" t="e">
        <f>AND(#REF!,"AAAAAH3X9RY=")</f>
        <v>#REF!</v>
      </c>
      <c r="X6" t="e">
        <f>AND(#REF!,"AAAAAH3X9Rc=")</f>
        <v>#REF!</v>
      </c>
      <c r="Y6" t="e">
        <f>AND(#REF!,"AAAAAH3X9Rg=")</f>
        <v>#REF!</v>
      </c>
      <c r="Z6" t="e">
        <f>IF(#REF!,"AAAAAH3X9Rk=",0)</f>
        <v>#REF!</v>
      </c>
      <c r="AA6" t="e">
        <f>AND(#REF!,"AAAAAH3X9Ro=")</f>
        <v>#REF!</v>
      </c>
      <c r="AB6" t="e">
        <f>AND(#REF!,"AAAAAH3X9Rs=")</f>
        <v>#REF!</v>
      </c>
      <c r="AC6" t="e">
        <f>AND(#REF!,"AAAAAH3X9Rw=")</f>
        <v>#REF!</v>
      </c>
      <c r="AD6" t="e">
        <f>AND(#REF!,"AAAAAH3X9R0=")</f>
        <v>#REF!</v>
      </c>
      <c r="AE6" t="e">
        <f>AND(#REF!,"AAAAAH3X9R4=")</f>
        <v>#REF!</v>
      </c>
      <c r="AF6" t="e">
        <f>AND(#REF!,"AAAAAH3X9R8=")</f>
        <v>#REF!</v>
      </c>
      <c r="AG6" t="e">
        <f>AND(#REF!,"AAAAAH3X9SA=")</f>
        <v>#REF!</v>
      </c>
      <c r="AH6" t="e">
        <f>AND(#REF!,"AAAAAH3X9SE=")</f>
        <v>#REF!</v>
      </c>
      <c r="AI6" t="e">
        <f>AND(#REF!,"AAAAAH3X9SI=")</f>
        <v>#REF!</v>
      </c>
      <c r="AJ6" t="e">
        <f>IF(#REF!,"AAAAAH3X9SM=",0)</f>
        <v>#REF!</v>
      </c>
      <c r="AK6" t="e">
        <f>AND(#REF!,"AAAAAH3X9SQ=")</f>
        <v>#REF!</v>
      </c>
      <c r="AL6" t="e">
        <f>AND(#REF!,"AAAAAH3X9SU=")</f>
        <v>#REF!</v>
      </c>
      <c r="AM6" t="e">
        <f>AND(#REF!,"AAAAAH3X9SY=")</f>
        <v>#REF!</v>
      </c>
      <c r="AN6" t="e">
        <f>AND(#REF!,"AAAAAH3X9Sc=")</f>
        <v>#REF!</v>
      </c>
      <c r="AO6" t="e">
        <f>AND(#REF!,"AAAAAH3X9Sg=")</f>
        <v>#REF!</v>
      </c>
      <c r="AP6" t="e">
        <f>AND(#REF!,"AAAAAH3X9Sk=")</f>
        <v>#REF!</v>
      </c>
      <c r="AQ6" t="e">
        <f>AND(#REF!,"AAAAAH3X9So=")</f>
        <v>#REF!</v>
      </c>
      <c r="AR6" t="e">
        <f>AND(#REF!,"AAAAAH3X9Ss=")</f>
        <v>#REF!</v>
      </c>
      <c r="AS6" t="e">
        <f>AND(#REF!,"AAAAAH3X9Sw=")</f>
        <v>#REF!</v>
      </c>
      <c r="AT6" t="e">
        <f>IF(#REF!,"AAAAAH3X9S0=",0)</f>
        <v>#REF!</v>
      </c>
      <c r="AU6" t="e">
        <f>AND(#REF!,"AAAAAH3X9S4=")</f>
        <v>#REF!</v>
      </c>
      <c r="AV6" t="e">
        <f>AND(#REF!,"AAAAAH3X9S8=")</f>
        <v>#REF!</v>
      </c>
      <c r="AW6" t="e">
        <f>AND(#REF!,"AAAAAH3X9TA=")</f>
        <v>#REF!</v>
      </c>
      <c r="AX6" t="e">
        <f>AND(#REF!,"AAAAAH3X9TE=")</f>
        <v>#REF!</v>
      </c>
      <c r="AY6" t="e">
        <f>AND(#REF!,"AAAAAH3X9TI=")</f>
        <v>#REF!</v>
      </c>
      <c r="AZ6" t="e">
        <f>AND(#REF!,"AAAAAH3X9TM=")</f>
        <v>#REF!</v>
      </c>
      <c r="BA6" t="e">
        <f>AND(#REF!,"AAAAAH3X9TQ=")</f>
        <v>#REF!</v>
      </c>
      <c r="BB6" t="e">
        <f>AND(#REF!,"AAAAAH3X9TU=")</f>
        <v>#REF!</v>
      </c>
      <c r="BC6" t="e">
        <f>AND(#REF!,"AAAAAH3X9TY=")</f>
        <v>#REF!</v>
      </c>
      <c r="BD6" t="e">
        <f>IF(#REF!,"AAAAAH3X9Tc=",0)</f>
        <v>#REF!</v>
      </c>
      <c r="BE6" t="e">
        <f>AND(#REF!,"AAAAAH3X9Tg=")</f>
        <v>#REF!</v>
      </c>
      <c r="BF6" t="e">
        <f>AND(#REF!,"AAAAAH3X9Tk=")</f>
        <v>#REF!</v>
      </c>
      <c r="BG6" t="e">
        <f>AND(#REF!,"AAAAAH3X9To=")</f>
        <v>#REF!</v>
      </c>
      <c r="BH6" t="e">
        <f>AND(#REF!,"AAAAAH3X9Ts=")</f>
        <v>#REF!</v>
      </c>
      <c r="BI6" t="e">
        <f>AND(#REF!,"AAAAAH3X9Tw=")</f>
        <v>#REF!</v>
      </c>
      <c r="BJ6" t="e">
        <f>AND(#REF!,"AAAAAH3X9T0=")</f>
        <v>#REF!</v>
      </c>
      <c r="BK6" t="e">
        <f>AND(#REF!,"AAAAAH3X9T4=")</f>
        <v>#REF!</v>
      </c>
      <c r="BL6" t="e">
        <f>AND(#REF!,"AAAAAH3X9T8=")</f>
        <v>#REF!</v>
      </c>
      <c r="BM6" t="e">
        <f>AND(#REF!,"AAAAAH3X9UA=")</f>
        <v>#REF!</v>
      </c>
      <c r="BN6" t="e">
        <f>IF(#REF!,"AAAAAH3X9UE=",0)</f>
        <v>#REF!</v>
      </c>
      <c r="BO6" t="e">
        <f>AND(#REF!,"AAAAAH3X9UI=")</f>
        <v>#REF!</v>
      </c>
      <c r="BP6" t="e">
        <f>AND(#REF!,"AAAAAH3X9UM=")</f>
        <v>#REF!</v>
      </c>
      <c r="BQ6" t="e">
        <f>AND(#REF!,"AAAAAH3X9UQ=")</f>
        <v>#REF!</v>
      </c>
      <c r="BR6" t="e">
        <f>AND(#REF!,"AAAAAH3X9UU=")</f>
        <v>#REF!</v>
      </c>
      <c r="BS6" t="e">
        <f>AND(#REF!,"AAAAAH3X9UY=")</f>
        <v>#REF!</v>
      </c>
      <c r="BT6" t="e">
        <f>AND(#REF!,"AAAAAH3X9Uc=")</f>
        <v>#REF!</v>
      </c>
      <c r="BU6" t="e">
        <f>AND(#REF!,"AAAAAH3X9Ug=")</f>
        <v>#REF!</v>
      </c>
      <c r="BV6" t="e">
        <f>AND(#REF!,"AAAAAH3X9Uk=")</f>
        <v>#REF!</v>
      </c>
      <c r="BW6" t="e">
        <f>AND(#REF!,"AAAAAH3X9Uo=")</f>
        <v>#REF!</v>
      </c>
      <c r="BX6" t="e">
        <f>IF(#REF!,"AAAAAH3X9Us=",0)</f>
        <v>#REF!</v>
      </c>
      <c r="BY6" t="e">
        <f>AND(#REF!,"AAAAAH3X9Uw=")</f>
        <v>#REF!</v>
      </c>
      <c r="BZ6" t="e">
        <f>AND(#REF!,"AAAAAH3X9U0=")</f>
        <v>#REF!</v>
      </c>
      <c r="CA6" t="e">
        <f>AND(#REF!,"AAAAAH3X9U4=")</f>
        <v>#REF!</v>
      </c>
      <c r="CB6" t="e">
        <f>AND(#REF!,"AAAAAH3X9U8=")</f>
        <v>#REF!</v>
      </c>
      <c r="CC6" t="e">
        <f>AND(#REF!,"AAAAAH3X9VA=")</f>
        <v>#REF!</v>
      </c>
      <c r="CD6" t="e">
        <f>AND(#REF!,"AAAAAH3X9VE=")</f>
        <v>#REF!</v>
      </c>
      <c r="CE6" t="e">
        <f>AND(#REF!,"AAAAAH3X9VI=")</f>
        <v>#REF!</v>
      </c>
      <c r="CF6" t="e">
        <f>AND(#REF!,"AAAAAH3X9VM=")</f>
        <v>#REF!</v>
      </c>
      <c r="CG6" t="e">
        <f>AND(#REF!,"AAAAAH3X9VQ=")</f>
        <v>#REF!</v>
      </c>
      <c r="CH6" t="e">
        <f>IF(#REF!,"AAAAAH3X9VU=",0)</f>
        <v>#REF!</v>
      </c>
      <c r="CI6" t="e">
        <f>AND(#REF!,"AAAAAH3X9VY=")</f>
        <v>#REF!</v>
      </c>
      <c r="CJ6" t="e">
        <f>AND(#REF!,"AAAAAH3X9Vc=")</f>
        <v>#REF!</v>
      </c>
      <c r="CK6" t="e">
        <f>AND(#REF!,"AAAAAH3X9Vg=")</f>
        <v>#REF!</v>
      </c>
      <c r="CL6" t="e">
        <f>AND(#REF!,"AAAAAH3X9Vk=")</f>
        <v>#REF!</v>
      </c>
      <c r="CM6" t="e">
        <f>AND(#REF!,"AAAAAH3X9Vo=")</f>
        <v>#REF!</v>
      </c>
      <c r="CN6" t="e">
        <f>AND(#REF!,"AAAAAH3X9Vs=")</f>
        <v>#REF!</v>
      </c>
      <c r="CO6" t="e">
        <f>AND(#REF!,"AAAAAH3X9Vw=")</f>
        <v>#REF!</v>
      </c>
      <c r="CP6" t="e">
        <f>AND(#REF!,"AAAAAH3X9V0=")</f>
        <v>#REF!</v>
      </c>
      <c r="CQ6" t="e">
        <f>AND(#REF!,"AAAAAH3X9V4=")</f>
        <v>#REF!</v>
      </c>
      <c r="CR6" t="e">
        <f>IF(#REF!,"AAAAAH3X9V8=",0)</f>
        <v>#REF!</v>
      </c>
      <c r="CS6" t="e">
        <f>AND(#REF!,"AAAAAH3X9WA=")</f>
        <v>#REF!</v>
      </c>
      <c r="CT6" t="e">
        <f>AND(#REF!,"AAAAAH3X9WE=")</f>
        <v>#REF!</v>
      </c>
      <c r="CU6" t="e">
        <f>AND(#REF!,"AAAAAH3X9WI=")</f>
        <v>#REF!</v>
      </c>
      <c r="CV6" t="e">
        <f>AND(#REF!,"AAAAAH3X9WM=")</f>
        <v>#REF!</v>
      </c>
      <c r="CW6" t="e">
        <f>AND(#REF!,"AAAAAH3X9WQ=")</f>
        <v>#REF!</v>
      </c>
      <c r="CX6" t="e">
        <f>AND(#REF!,"AAAAAH3X9WU=")</f>
        <v>#REF!</v>
      </c>
      <c r="CY6" t="e">
        <f>AND(#REF!,"AAAAAH3X9WY=")</f>
        <v>#REF!</v>
      </c>
      <c r="CZ6" t="e">
        <f>AND(#REF!,"AAAAAH3X9Wc=")</f>
        <v>#REF!</v>
      </c>
      <c r="DA6" t="e">
        <f>AND(#REF!,"AAAAAH3X9Wg=")</f>
        <v>#REF!</v>
      </c>
      <c r="DB6" t="e">
        <f>IF(#REF!,"AAAAAH3X9Wk=",0)</f>
        <v>#REF!</v>
      </c>
      <c r="DC6" t="e">
        <f>AND(#REF!,"AAAAAH3X9Wo=")</f>
        <v>#REF!</v>
      </c>
      <c r="DD6" t="e">
        <f>AND(#REF!,"AAAAAH3X9Ws=")</f>
        <v>#REF!</v>
      </c>
      <c r="DE6" t="e">
        <f>AND(#REF!,"AAAAAH3X9Ww=")</f>
        <v>#REF!</v>
      </c>
      <c r="DF6" t="e">
        <f>AND(#REF!,"AAAAAH3X9W0=")</f>
        <v>#REF!</v>
      </c>
      <c r="DG6" t="e">
        <f>AND(#REF!,"AAAAAH3X9W4=")</f>
        <v>#REF!</v>
      </c>
      <c r="DH6" t="e">
        <f>AND(#REF!,"AAAAAH3X9W8=")</f>
        <v>#REF!</v>
      </c>
      <c r="DI6" t="e">
        <f>AND(#REF!,"AAAAAH3X9XA=")</f>
        <v>#REF!</v>
      </c>
      <c r="DJ6" t="e">
        <f>AND(#REF!,"AAAAAH3X9XE=")</f>
        <v>#REF!</v>
      </c>
      <c r="DK6" t="e">
        <f>AND(#REF!,"AAAAAH3X9XI=")</f>
        <v>#REF!</v>
      </c>
      <c r="DL6" t="e">
        <f>IF(#REF!,"AAAAAH3X9XM=",0)</f>
        <v>#REF!</v>
      </c>
      <c r="DM6" t="e">
        <f>AND(#REF!,"AAAAAH3X9XQ=")</f>
        <v>#REF!</v>
      </c>
      <c r="DN6" t="e">
        <f>AND(#REF!,"AAAAAH3X9XU=")</f>
        <v>#REF!</v>
      </c>
      <c r="DO6" t="e">
        <f>AND(#REF!,"AAAAAH3X9XY=")</f>
        <v>#REF!</v>
      </c>
      <c r="DP6" t="e">
        <f>AND(#REF!,"AAAAAH3X9Xc=")</f>
        <v>#REF!</v>
      </c>
      <c r="DQ6" t="e">
        <f>AND(#REF!,"AAAAAH3X9Xg=")</f>
        <v>#REF!</v>
      </c>
      <c r="DR6" t="e">
        <f>AND(#REF!,"AAAAAH3X9Xk=")</f>
        <v>#REF!</v>
      </c>
      <c r="DS6" t="e">
        <f>AND(#REF!,"AAAAAH3X9Xo=")</f>
        <v>#REF!</v>
      </c>
      <c r="DT6" t="e">
        <f>AND(#REF!,"AAAAAH3X9Xs=")</f>
        <v>#REF!</v>
      </c>
      <c r="DU6" t="e">
        <f>AND(#REF!,"AAAAAH3X9Xw=")</f>
        <v>#REF!</v>
      </c>
      <c r="DV6" t="e">
        <f>IF(#REF!,"AAAAAH3X9X0=",0)</f>
        <v>#REF!</v>
      </c>
      <c r="DW6" t="e">
        <f>AND(#REF!,"AAAAAH3X9X4=")</f>
        <v>#REF!</v>
      </c>
      <c r="DX6" t="e">
        <f>AND(#REF!,"AAAAAH3X9X8=")</f>
        <v>#REF!</v>
      </c>
      <c r="DY6" t="e">
        <f>AND(#REF!,"AAAAAH3X9YA=")</f>
        <v>#REF!</v>
      </c>
      <c r="DZ6" t="e">
        <f>AND(#REF!,"AAAAAH3X9YE=")</f>
        <v>#REF!</v>
      </c>
      <c r="EA6" t="e">
        <f>AND(#REF!,"AAAAAH3X9YI=")</f>
        <v>#REF!</v>
      </c>
      <c r="EB6" t="e">
        <f>AND(#REF!,"AAAAAH3X9YM=")</f>
        <v>#REF!</v>
      </c>
      <c r="EC6" t="e">
        <f>AND(#REF!,"AAAAAH3X9YQ=")</f>
        <v>#REF!</v>
      </c>
      <c r="ED6" t="e">
        <f>AND(#REF!,"AAAAAH3X9YU=")</f>
        <v>#REF!</v>
      </c>
      <c r="EE6" t="e">
        <f>AND(#REF!,"AAAAAH3X9YY=")</f>
        <v>#REF!</v>
      </c>
      <c r="EF6" t="e">
        <f>IF(#REF!,"AAAAAH3X9Yc=",0)</f>
        <v>#REF!</v>
      </c>
      <c r="EG6" t="e">
        <f>AND(#REF!,"AAAAAH3X9Yg=")</f>
        <v>#REF!</v>
      </c>
      <c r="EH6" t="e">
        <f>AND(#REF!,"AAAAAH3X9Yk=")</f>
        <v>#REF!</v>
      </c>
      <c r="EI6" t="e">
        <f>AND(#REF!,"AAAAAH3X9Yo=")</f>
        <v>#REF!</v>
      </c>
      <c r="EJ6" t="e">
        <f>AND(#REF!,"AAAAAH3X9Ys=")</f>
        <v>#REF!</v>
      </c>
      <c r="EK6" t="e">
        <f>AND(#REF!,"AAAAAH3X9Yw=")</f>
        <v>#REF!</v>
      </c>
      <c r="EL6" t="e">
        <f>AND(#REF!,"AAAAAH3X9Y0=")</f>
        <v>#REF!</v>
      </c>
      <c r="EM6" t="e">
        <f>AND(#REF!,"AAAAAH3X9Y4=")</f>
        <v>#REF!</v>
      </c>
      <c r="EN6" t="e">
        <f>AND(#REF!,"AAAAAH3X9Y8=")</f>
        <v>#REF!</v>
      </c>
      <c r="EO6" t="e">
        <f>AND(#REF!,"AAAAAH3X9ZA=")</f>
        <v>#REF!</v>
      </c>
      <c r="EP6" t="e">
        <f>IF(#REF!,"AAAAAH3X9ZE=",0)</f>
        <v>#REF!</v>
      </c>
      <c r="EQ6" t="e">
        <f>AND(#REF!,"AAAAAH3X9ZI=")</f>
        <v>#REF!</v>
      </c>
      <c r="ER6" t="e">
        <f>AND(#REF!,"AAAAAH3X9ZM=")</f>
        <v>#REF!</v>
      </c>
      <c r="ES6" t="e">
        <f>AND(#REF!,"AAAAAH3X9ZQ=")</f>
        <v>#REF!</v>
      </c>
      <c r="ET6" t="e">
        <f>AND(#REF!,"AAAAAH3X9ZU=")</f>
        <v>#REF!</v>
      </c>
      <c r="EU6" t="e">
        <f>AND(#REF!,"AAAAAH3X9ZY=")</f>
        <v>#REF!</v>
      </c>
      <c r="EV6" t="e">
        <f>AND(#REF!,"AAAAAH3X9Zc=")</f>
        <v>#REF!</v>
      </c>
      <c r="EW6" t="e">
        <f>AND(#REF!,"AAAAAH3X9Zg=")</f>
        <v>#REF!</v>
      </c>
      <c r="EX6" t="e">
        <f>AND(#REF!,"AAAAAH3X9Zk=")</f>
        <v>#REF!</v>
      </c>
      <c r="EY6" t="e">
        <f>AND(#REF!,"AAAAAH3X9Zo=")</f>
        <v>#REF!</v>
      </c>
      <c r="EZ6" t="e">
        <f>IF(#REF!,"AAAAAH3X9Zs=",0)</f>
        <v>#REF!</v>
      </c>
      <c r="FA6" t="e">
        <f>AND(#REF!,"AAAAAH3X9Zw=")</f>
        <v>#REF!</v>
      </c>
      <c r="FB6" t="e">
        <f>AND(#REF!,"AAAAAH3X9Z0=")</f>
        <v>#REF!</v>
      </c>
      <c r="FC6" t="e">
        <f>AND(#REF!,"AAAAAH3X9Z4=")</f>
        <v>#REF!</v>
      </c>
      <c r="FD6" t="e">
        <f>AND(#REF!,"AAAAAH3X9Z8=")</f>
        <v>#REF!</v>
      </c>
      <c r="FE6" t="e">
        <f>AND(#REF!,"AAAAAH3X9aA=")</f>
        <v>#REF!</v>
      </c>
      <c r="FF6" t="e">
        <f>AND(#REF!,"AAAAAH3X9aE=")</f>
        <v>#REF!</v>
      </c>
      <c r="FG6" t="e">
        <f>AND(#REF!,"AAAAAH3X9aI=")</f>
        <v>#REF!</v>
      </c>
      <c r="FH6" t="e">
        <f>AND(#REF!,"AAAAAH3X9aM=")</f>
        <v>#REF!</v>
      </c>
      <c r="FI6" t="e">
        <f>AND(#REF!,"AAAAAH3X9aQ=")</f>
        <v>#REF!</v>
      </c>
      <c r="FJ6" t="e">
        <f>IF(#REF!,"AAAAAH3X9aU=",0)</f>
        <v>#REF!</v>
      </c>
      <c r="FK6" t="e">
        <f>AND(#REF!,"AAAAAH3X9aY=")</f>
        <v>#REF!</v>
      </c>
      <c r="FL6" t="e">
        <f>AND(#REF!,"AAAAAH3X9ac=")</f>
        <v>#REF!</v>
      </c>
      <c r="FM6" t="e">
        <f>AND(#REF!,"AAAAAH3X9ag=")</f>
        <v>#REF!</v>
      </c>
      <c r="FN6" t="e">
        <f>AND(#REF!,"AAAAAH3X9ak=")</f>
        <v>#REF!</v>
      </c>
      <c r="FO6" t="e">
        <f>AND(#REF!,"AAAAAH3X9ao=")</f>
        <v>#REF!</v>
      </c>
      <c r="FP6" t="e">
        <f>AND(#REF!,"AAAAAH3X9as=")</f>
        <v>#REF!</v>
      </c>
      <c r="FQ6" t="e">
        <f>AND(#REF!,"AAAAAH3X9aw=")</f>
        <v>#REF!</v>
      </c>
      <c r="FR6" t="e">
        <f>AND(#REF!,"AAAAAH3X9a0=")</f>
        <v>#REF!</v>
      </c>
      <c r="FS6" t="e">
        <f>AND(#REF!,"AAAAAH3X9a4=")</f>
        <v>#REF!</v>
      </c>
      <c r="FT6" t="e">
        <f>IF(#REF!,"AAAAAH3X9a8=",0)</f>
        <v>#REF!</v>
      </c>
      <c r="FU6" t="e">
        <f>AND(#REF!,"AAAAAH3X9bA=")</f>
        <v>#REF!</v>
      </c>
      <c r="FV6" t="e">
        <f>AND(#REF!,"AAAAAH3X9bE=")</f>
        <v>#REF!</v>
      </c>
      <c r="FW6" t="e">
        <f>AND(#REF!,"AAAAAH3X9bI=")</f>
        <v>#REF!</v>
      </c>
      <c r="FX6" t="e">
        <f>AND(#REF!,"AAAAAH3X9bM=")</f>
        <v>#REF!</v>
      </c>
      <c r="FY6" t="e">
        <f>AND(#REF!,"AAAAAH3X9bQ=")</f>
        <v>#REF!</v>
      </c>
      <c r="FZ6" t="e">
        <f>AND(#REF!,"AAAAAH3X9bU=")</f>
        <v>#REF!</v>
      </c>
      <c r="GA6" t="e">
        <f>AND(#REF!,"AAAAAH3X9bY=")</f>
        <v>#REF!</v>
      </c>
      <c r="GB6" t="e">
        <f>AND(#REF!,"AAAAAH3X9bc=")</f>
        <v>#REF!</v>
      </c>
      <c r="GC6" t="e">
        <f>AND(#REF!,"AAAAAH3X9bg=")</f>
        <v>#REF!</v>
      </c>
      <c r="GD6" t="e">
        <f>IF(#REF!,"AAAAAH3X9bk=",0)</f>
        <v>#REF!</v>
      </c>
      <c r="GE6" t="e">
        <f>AND(#REF!,"AAAAAH3X9bo=")</f>
        <v>#REF!</v>
      </c>
      <c r="GF6" t="e">
        <f>AND(#REF!,"AAAAAH3X9bs=")</f>
        <v>#REF!</v>
      </c>
      <c r="GG6" t="e">
        <f>AND(#REF!,"AAAAAH3X9bw=")</f>
        <v>#REF!</v>
      </c>
      <c r="GH6" t="e">
        <f>AND(#REF!,"AAAAAH3X9b0=")</f>
        <v>#REF!</v>
      </c>
      <c r="GI6" t="e">
        <f>AND(#REF!,"AAAAAH3X9b4=")</f>
        <v>#REF!</v>
      </c>
      <c r="GJ6" t="e">
        <f>AND(#REF!,"AAAAAH3X9b8=")</f>
        <v>#REF!</v>
      </c>
      <c r="GK6" t="e">
        <f>AND(#REF!,"AAAAAH3X9cA=")</f>
        <v>#REF!</v>
      </c>
      <c r="GL6" t="e">
        <f>AND(#REF!,"AAAAAH3X9cE=")</f>
        <v>#REF!</v>
      </c>
      <c r="GM6" t="e">
        <f>AND(#REF!,"AAAAAH3X9cI=")</f>
        <v>#REF!</v>
      </c>
      <c r="GN6" t="e">
        <f>IF(#REF!,"AAAAAH3X9cM=",0)</f>
        <v>#REF!</v>
      </c>
      <c r="GO6" t="e">
        <f>AND(#REF!,"AAAAAH3X9cQ=")</f>
        <v>#REF!</v>
      </c>
      <c r="GP6" t="e">
        <f>AND(#REF!,"AAAAAH3X9cU=")</f>
        <v>#REF!</v>
      </c>
      <c r="GQ6" t="e">
        <f>AND(#REF!,"AAAAAH3X9cY=")</f>
        <v>#REF!</v>
      </c>
      <c r="GR6" t="e">
        <f>AND(#REF!,"AAAAAH3X9cc=")</f>
        <v>#REF!</v>
      </c>
      <c r="GS6" t="e">
        <f>AND(#REF!,"AAAAAH3X9cg=")</f>
        <v>#REF!</v>
      </c>
      <c r="GT6" t="e">
        <f>AND(#REF!,"AAAAAH3X9ck=")</f>
        <v>#REF!</v>
      </c>
      <c r="GU6" t="e">
        <f>AND(#REF!,"AAAAAH3X9co=")</f>
        <v>#REF!</v>
      </c>
      <c r="GV6" t="e">
        <f>AND(#REF!,"AAAAAH3X9cs=")</f>
        <v>#REF!</v>
      </c>
      <c r="GW6" t="e">
        <f>AND(#REF!,"AAAAAH3X9cw=")</f>
        <v>#REF!</v>
      </c>
      <c r="GX6" t="e">
        <f>IF(#REF!,"AAAAAH3X9c0=",0)</f>
        <v>#REF!</v>
      </c>
      <c r="GY6" t="e">
        <f>AND(#REF!,"AAAAAH3X9c4=")</f>
        <v>#REF!</v>
      </c>
      <c r="GZ6" t="e">
        <f>AND(#REF!,"AAAAAH3X9c8=")</f>
        <v>#REF!</v>
      </c>
      <c r="HA6" t="e">
        <f>AND(#REF!,"AAAAAH3X9dA=")</f>
        <v>#REF!</v>
      </c>
      <c r="HB6" t="e">
        <f>AND(#REF!,"AAAAAH3X9dE=")</f>
        <v>#REF!</v>
      </c>
      <c r="HC6" t="e">
        <f>AND(#REF!,"AAAAAH3X9dI=")</f>
        <v>#REF!</v>
      </c>
      <c r="HD6" t="e">
        <f>AND(#REF!,"AAAAAH3X9dM=")</f>
        <v>#REF!</v>
      </c>
      <c r="HE6" t="e">
        <f>AND(#REF!,"AAAAAH3X9dQ=")</f>
        <v>#REF!</v>
      </c>
      <c r="HF6" t="e">
        <f>AND(#REF!,"AAAAAH3X9dU=")</f>
        <v>#REF!</v>
      </c>
      <c r="HG6" t="e">
        <f>AND(#REF!,"AAAAAH3X9dY=")</f>
        <v>#REF!</v>
      </c>
      <c r="HH6" t="e">
        <f>IF(#REF!,"AAAAAH3X9dc=",0)</f>
        <v>#REF!</v>
      </c>
      <c r="HI6" t="e">
        <f>AND(#REF!,"AAAAAH3X9dg=")</f>
        <v>#REF!</v>
      </c>
      <c r="HJ6" t="e">
        <f>AND(#REF!,"AAAAAH3X9dk=")</f>
        <v>#REF!</v>
      </c>
      <c r="HK6" t="e">
        <f>AND(#REF!,"AAAAAH3X9do=")</f>
        <v>#REF!</v>
      </c>
      <c r="HL6" t="e">
        <f>AND(#REF!,"AAAAAH3X9ds=")</f>
        <v>#REF!</v>
      </c>
      <c r="HM6" t="e">
        <f>AND(#REF!,"AAAAAH3X9dw=")</f>
        <v>#REF!</v>
      </c>
      <c r="HN6" t="e">
        <f>AND(#REF!,"AAAAAH3X9d0=")</f>
        <v>#REF!</v>
      </c>
      <c r="HO6" t="e">
        <f>AND(#REF!,"AAAAAH3X9d4=")</f>
        <v>#REF!</v>
      </c>
      <c r="HP6" t="e">
        <f>AND(#REF!,"AAAAAH3X9d8=")</f>
        <v>#REF!</v>
      </c>
      <c r="HQ6" t="e">
        <f>AND(#REF!,"AAAAAH3X9eA=")</f>
        <v>#REF!</v>
      </c>
      <c r="HR6" t="e">
        <f>IF(#REF!,"AAAAAH3X9eE=",0)</f>
        <v>#REF!</v>
      </c>
      <c r="HS6" t="e">
        <f>AND(#REF!,"AAAAAH3X9eI=")</f>
        <v>#REF!</v>
      </c>
      <c r="HT6" t="e">
        <f>AND(#REF!,"AAAAAH3X9eM=")</f>
        <v>#REF!</v>
      </c>
      <c r="HU6" t="e">
        <f>AND(#REF!,"AAAAAH3X9eQ=")</f>
        <v>#REF!</v>
      </c>
      <c r="HV6" t="e">
        <f>AND(#REF!,"AAAAAH3X9eU=")</f>
        <v>#REF!</v>
      </c>
      <c r="HW6" t="e">
        <f>AND(#REF!,"AAAAAH3X9eY=")</f>
        <v>#REF!</v>
      </c>
      <c r="HX6" t="e">
        <f>AND(#REF!,"AAAAAH3X9ec=")</f>
        <v>#REF!</v>
      </c>
      <c r="HY6" t="e">
        <f>AND(#REF!,"AAAAAH3X9eg=")</f>
        <v>#REF!</v>
      </c>
      <c r="HZ6" t="e">
        <f>AND(#REF!,"AAAAAH3X9ek=")</f>
        <v>#REF!</v>
      </c>
      <c r="IA6" t="e">
        <f>AND(#REF!,"AAAAAH3X9eo=")</f>
        <v>#REF!</v>
      </c>
      <c r="IB6" t="e">
        <f>IF(#REF!,"AAAAAH3X9es=",0)</f>
        <v>#REF!</v>
      </c>
      <c r="IC6" t="e">
        <f>AND(#REF!,"AAAAAH3X9ew=")</f>
        <v>#REF!</v>
      </c>
      <c r="ID6" t="e">
        <f>AND(#REF!,"AAAAAH3X9e0=")</f>
        <v>#REF!</v>
      </c>
      <c r="IE6" t="e">
        <f>AND(#REF!,"AAAAAH3X9e4=")</f>
        <v>#REF!</v>
      </c>
      <c r="IF6" t="e">
        <f>AND(#REF!,"AAAAAH3X9e8=")</f>
        <v>#REF!</v>
      </c>
      <c r="IG6" t="e">
        <f>AND(#REF!,"AAAAAH3X9fA=")</f>
        <v>#REF!</v>
      </c>
      <c r="IH6" t="e">
        <f>AND(#REF!,"AAAAAH3X9fE=")</f>
        <v>#REF!</v>
      </c>
      <c r="II6" t="e">
        <f>AND(#REF!,"AAAAAH3X9fI=")</f>
        <v>#REF!</v>
      </c>
      <c r="IJ6" t="e">
        <f>AND(#REF!,"AAAAAH3X9fM=")</f>
        <v>#REF!</v>
      </c>
      <c r="IK6" t="e">
        <f>AND(#REF!,"AAAAAH3X9fQ=")</f>
        <v>#REF!</v>
      </c>
      <c r="IL6" t="e">
        <f>IF(#REF!,"AAAAAH3X9fU=",0)</f>
        <v>#REF!</v>
      </c>
      <c r="IM6" t="e">
        <f>AND(#REF!,"AAAAAH3X9fY=")</f>
        <v>#REF!</v>
      </c>
      <c r="IN6" t="e">
        <f>AND(#REF!,"AAAAAH3X9fc=")</f>
        <v>#REF!</v>
      </c>
      <c r="IO6" t="e">
        <f>AND(#REF!,"AAAAAH3X9fg=")</f>
        <v>#REF!</v>
      </c>
      <c r="IP6" t="e">
        <f>AND(#REF!,"AAAAAH3X9fk=")</f>
        <v>#REF!</v>
      </c>
      <c r="IQ6" t="e">
        <f>AND(#REF!,"AAAAAH3X9fo=")</f>
        <v>#REF!</v>
      </c>
      <c r="IR6" t="e">
        <f>AND(#REF!,"AAAAAH3X9fs=")</f>
        <v>#REF!</v>
      </c>
      <c r="IS6" t="e">
        <f>AND(#REF!,"AAAAAH3X9fw=")</f>
        <v>#REF!</v>
      </c>
      <c r="IT6" t="e">
        <f>AND(#REF!,"AAAAAH3X9f0=")</f>
        <v>#REF!</v>
      </c>
      <c r="IU6" t="e">
        <f>AND(#REF!,"AAAAAH3X9f4=")</f>
        <v>#REF!</v>
      </c>
      <c r="IV6" t="e">
        <f>IF(#REF!,"AAAAAH3X9f8=",0)</f>
        <v>#REF!</v>
      </c>
    </row>
    <row r="7" spans="1:256" ht="15">
      <c r="A7" t="e">
        <f>AND(#REF!,"AAAAAG+ZegA=")</f>
        <v>#REF!</v>
      </c>
      <c r="B7" t="e">
        <f>AND(#REF!,"AAAAAG+ZegE=")</f>
        <v>#REF!</v>
      </c>
      <c r="C7" t="e">
        <f>AND(#REF!,"AAAAAG+ZegI=")</f>
        <v>#REF!</v>
      </c>
      <c r="D7" t="e">
        <f>AND(#REF!,"AAAAAG+ZegM=")</f>
        <v>#REF!</v>
      </c>
      <c r="E7" t="e">
        <f>AND(#REF!,"AAAAAG+ZegQ=")</f>
        <v>#REF!</v>
      </c>
      <c r="F7" t="e">
        <f>AND(#REF!,"AAAAAG+ZegU=")</f>
        <v>#REF!</v>
      </c>
      <c r="G7" t="e">
        <f>AND(#REF!,"AAAAAG+ZegY=")</f>
        <v>#REF!</v>
      </c>
      <c r="H7" t="e">
        <f>AND(#REF!,"AAAAAG+Zegc=")</f>
        <v>#REF!</v>
      </c>
      <c r="I7" t="e">
        <f>AND(#REF!,"AAAAAG+Zegg=")</f>
        <v>#REF!</v>
      </c>
      <c r="J7" t="e">
        <f>IF(#REF!,"AAAAAG+Zegk=",0)</f>
        <v>#REF!</v>
      </c>
      <c r="K7" t="e">
        <f>AND(#REF!,"AAAAAG+Zego=")</f>
        <v>#REF!</v>
      </c>
      <c r="L7" t="e">
        <f>AND(#REF!,"AAAAAG+Zegs=")</f>
        <v>#REF!</v>
      </c>
      <c r="M7" t="e">
        <f>AND(#REF!,"AAAAAG+Zegw=")</f>
        <v>#REF!</v>
      </c>
      <c r="N7" t="e">
        <f>AND(#REF!,"AAAAAG+Zeg0=")</f>
        <v>#REF!</v>
      </c>
      <c r="O7" t="e">
        <f>AND(#REF!,"AAAAAG+Zeg4=")</f>
        <v>#REF!</v>
      </c>
      <c r="P7" t="e">
        <f>AND(#REF!,"AAAAAG+Zeg8=")</f>
        <v>#REF!</v>
      </c>
      <c r="Q7" t="e">
        <f>AND(#REF!,"AAAAAG+ZehA=")</f>
        <v>#REF!</v>
      </c>
      <c r="R7" t="e">
        <f>AND(#REF!,"AAAAAG+ZehE=")</f>
        <v>#REF!</v>
      </c>
      <c r="S7" t="e">
        <f>AND(#REF!,"AAAAAG+ZehI=")</f>
        <v>#REF!</v>
      </c>
      <c r="T7" t="e">
        <f>IF(#REF!,"AAAAAG+ZehM=",0)</f>
        <v>#REF!</v>
      </c>
      <c r="U7" t="e">
        <f>AND(#REF!,"AAAAAG+ZehQ=")</f>
        <v>#REF!</v>
      </c>
      <c r="V7" t="e">
        <f>AND(#REF!,"AAAAAG+ZehU=")</f>
        <v>#REF!</v>
      </c>
      <c r="W7" t="e">
        <f>AND(#REF!,"AAAAAG+ZehY=")</f>
        <v>#REF!</v>
      </c>
      <c r="X7" t="e">
        <f>AND(#REF!,"AAAAAG+Zehc=")</f>
        <v>#REF!</v>
      </c>
      <c r="Y7" t="e">
        <f>AND(#REF!,"AAAAAG+Zehg=")</f>
        <v>#REF!</v>
      </c>
      <c r="Z7" t="e">
        <f>AND(#REF!,"AAAAAG+Zehk=")</f>
        <v>#REF!</v>
      </c>
      <c r="AA7" t="e">
        <f>AND(#REF!,"AAAAAG+Zeho=")</f>
        <v>#REF!</v>
      </c>
      <c r="AB7" t="e">
        <f>AND(#REF!,"AAAAAG+Zehs=")</f>
        <v>#REF!</v>
      </c>
      <c r="AC7" t="e">
        <f>AND(#REF!,"AAAAAG+Zehw=")</f>
        <v>#REF!</v>
      </c>
      <c r="AD7" t="e">
        <f>IF(#REF!,"AAAAAG+Zeh0=",0)</f>
        <v>#REF!</v>
      </c>
      <c r="AE7" t="e">
        <f>AND(#REF!,"AAAAAG+Zeh4=")</f>
        <v>#REF!</v>
      </c>
      <c r="AF7" t="e">
        <f>AND(#REF!,"AAAAAG+Zeh8=")</f>
        <v>#REF!</v>
      </c>
      <c r="AG7" t="e">
        <f>AND(#REF!,"AAAAAG+ZeiA=")</f>
        <v>#REF!</v>
      </c>
      <c r="AH7" t="e">
        <f>AND(#REF!,"AAAAAG+ZeiE=")</f>
        <v>#REF!</v>
      </c>
      <c r="AI7" t="e">
        <f>AND(#REF!,"AAAAAG+ZeiI=")</f>
        <v>#REF!</v>
      </c>
      <c r="AJ7" t="e">
        <f>AND(#REF!,"AAAAAG+ZeiM=")</f>
        <v>#REF!</v>
      </c>
      <c r="AK7" t="e">
        <f>AND(#REF!,"AAAAAG+ZeiQ=")</f>
        <v>#REF!</v>
      </c>
      <c r="AL7" t="e">
        <f>AND(#REF!,"AAAAAG+ZeiU=")</f>
        <v>#REF!</v>
      </c>
      <c r="AM7" t="e">
        <f>AND(#REF!,"AAAAAG+ZeiY=")</f>
        <v>#REF!</v>
      </c>
      <c r="AN7" t="e">
        <f>IF(#REF!,"AAAAAG+Zeic=",0)</f>
        <v>#REF!</v>
      </c>
      <c r="AO7" t="e">
        <f>AND(#REF!,"AAAAAG+Zeig=")</f>
        <v>#REF!</v>
      </c>
      <c r="AP7" t="e">
        <f>AND(#REF!,"AAAAAG+Zeik=")</f>
        <v>#REF!</v>
      </c>
      <c r="AQ7" t="e">
        <f>AND(#REF!,"AAAAAG+Zeio=")</f>
        <v>#REF!</v>
      </c>
      <c r="AR7" t="e">
        <f>AND(#REF!,"AAAAAG+Zeis=")</f>
        <v>#REF!</v>
      </c>
      <c r="AS7" t="e">
        <f>AND(#REF!,"AAAAAG+Zeiw=")</f>
        <v>#REF!</v>
      </c>
      <c r="AT7" t="e">
        <f>AND(#REF!,"AAAAAG+Zei0=")</f>
        <v>#REF!</v>
      </c>
      <c r="AU7" t="e">
        <f>AND(#REF!,"AAAAAG+Zei4=")</f>
        <v>#REF!</v>
      </c>
      <c r="AV7" t="e">
        <f>AND(#REF!,"AAAAAG+Zei8=")</f>
        <v>#REF!</v>
      </c>
      <c r="AW7" t="e">
        <f>AND(#REF!,"AAAAAG+ZejA=")</f>
        <v>#REF!</v>
      </c>
      <c r="AX7" t="e">
        <f>IF(#REF!,"AAAAAG+ZejE=",0)</f>
        <v>#REF!</v>
      </c>
      <c r="AY7" t="e">
        <f>AND(#REF!,"AAAAAG+ZejI=")</f>
        <v>#REF!</v>
      </c>
      <c r="AZ7" t="e">
        <f>AND(#REF!,"AAAAAG+ZejM=")</f>
        <v>#REF!</v>
      </c>
      <c r="BA7" t="e">
        <f>AND(#REF!,"AAAAAG+ZejQ=")</f>
        <v>#REF!</v>
      </c>
      <c r="BB7" t="e">
        <f>AND(#REF!,"AAAAAG+ZejU=")</f>
        <v>#REF!</v>
      </c>
      <c r="BC7" t="e">
        <f>AND(#REF!,"AAAAAG+ZejY=")</f>
        <v>#REF!</v>
      </c>
      <c r="BD7" t="e">
        <f>AND(#REF!,"AAAAAG+Zejc=")</f>
        <v>#REF!</v>
      </c>
      <c r="BE7" t="e">
        <f>AND(#REF!,"AAAAAG+Zejg=")</f>
        <v>#REF!</v>
      </c>
      <c r="BF7" t="e">
        <f>AND(#REF!,"AAAAAG+Zejk=")</f>
        <v>#REF!</v>
      </c>
      <c r="BG7" t="e">
        <f>AND(#REF!,"AAAAAG+Zejo=")</f>
        <v>#REF!</v>
      </c>
      <c r="BH7" t="e">
        <f>IF(#REF!,"AAAAAG+Zejs=",0)</f>
        <v>#REF!</v>
      </c>
      <c r="BI7" t="e">
        <f>AND(#REF!,"AAAAAG+Zejw=")</f>
        <v>#REF!</v>
      </c>
      <c r="BJ7" t="e">
        <f>AND(#REF!,"AAAAAG+Zej0=")</f>
        <v>#REF!</v>
      </c>
      <c r="BK7" t="e">
        <f>AND(#REF!,"AAAAAG+Zej4=")</f>
        <v>#REF!</v>
      </c>
      <c r="BL7" t="e">
        <f>AND(#REF!,"AAAAAG+Zej8=")</f>
        <v>#REF!</v>
      </c>
      <c r="BM7" t="e">
        <f>AND(#REF!,"AAAAAG+ZekA=")</f>
        <v>#REF!</v>
      </c>
      <c r="BN7" t="e">
        <f>AND(#REF!,"AAAAAG+ZekE=")</f>
        <v>#REF!</v>
      </c>
      <c r="BO7" t="e">
        <f>AND(#REF!,"AAAAAG+ZekI=")</f>
        <v>#REF!</v>
      </c>
      <c r="BP7" t="e">
        <f>AND(#REF!,"AAAAAG+ZekM=")</f>
        <v>#REF!</v>
      </c>
      <c r="BQ7" t="e">
        <f>AND(#REF!,"AAAAAG+ZekQ=")</f>
        <v>#REF!</v>
      </c>
      <c r="BR7" t="e">
        <f>IF(#REF!,"AAAAAG+ZekU=",0)</f>
        <v>#REF!</v>
      </c>
      <c r="BS7" t="e">
        <f>AND(#REF!,"AAAAAG+ZekY=")</f>
        <v>#REF!</v>
      </c>
      <c r="BT7" t="e">
        <f>AND(#REF!,"AAAAAG+Zekc=")</f>
        <v>#REF!</v>
      </c>
      <c r="BU7" t="e">
        <f>AND(#REF!,"AAAAAG+Zekg=")</f>
        <v>#REF!</v>
      </c>
      <c r="BV7" t="e">
        <f>AND(#REF!,"AAAAAG+Zekk=")</f>
        <v>#REF!</v>
      </c>
      <c r="BW7" t="e">
        <f>AND(#REF!,"AAAAAG+Zeko=")</f>
        <v>#REF!</v>
      </c>
      <c r="BX7" t="e">
        <f>AND(#REF!,"AAAAAG+Zeks=")</f>
        <v>#REF!</v>
      </c>
      <c r="BY7" t="e">
        <f>AND(#REF!,"AAAAAG+Zekw=")</f>
        <v>#REF!</v>
      </c>
      <c r="BZ7" t="e">
        <f>AND(#REF!,"AAAAAG+Zek0=")</f>
        <v>#REF!</v>
      </c>
      <c r="CA7" t="e">
        <f>AND(#REF!,"AAAAAG+Zek4=")</f>
        <v>#REF!</v>
      </c>
      <c r="CB7" t="e">
        <f>IF(#REF!,"AAAAAG+Zek8=",0)</f>
        <v>#REF!</v>
      </c>
      <c r="CC7" t="e">
        <f>AND(#REF!,"AAAAAG+ZelA=")</f>
        <v>#REF!</v>
      </c>
      <c r="CD7" t="e">
        <f>AND(#REF!,"AAAAAG+ZelE=")</f>
        <v>#REF!</v>
      </c>
      <c r="CE7" t="e">
        <f>AND(#REF!,"AAAAAG+ZelI=")</f>
        <v>#REF!</v>
      </c>
      <c r="CF7" t="e">
        <f>AND(#REF!,"AAAAAG+ZelM=")</f>
        <v>#REF!</v>
      </c>
      <c r="CG7" t="e">
        <f>AND(#REF!,"AAAAAG+ZelQ=")</f>
        <v>#REF!</v>
      </c>
      <c r="CH7" t="e">
        <f>AND(#REF!,"AAAAAG+ZelU=")</f>
        <v>#REF!</v>
      </c>
      <c r="CI7" t="e">
        <f>AND(#REF!,"AAAAAG+ZelY=")</f>
        <v>#REF!</v>
      </c>
      <c r="CJ7" t="e">
        <f>AND(#REF!,"AAAAAG+Zelc=")</f>
        <v>#REF!</v>
      </c>
      <c r="CK7" t="e">
        <f>AND(#REF!,"AAAAAG+Zelg=")</f>
        <v>#REF!</v>
      </c>
      <c r="CL7" t="e">
        <f>IF(#REF!,"AAAAAG+Zelk=",0)</f>
        <v>#REF!</v>
      </c>
      <c r="CM7" t="e">
        <f>AND(#REF!,"AAAAAG+Zelo=")</f>
        <v>#REF!</v>
      </c>
      <c r="CN7" t="e">
        <f>AND(#REF!,"AAAAAG+Zels=")</f>
        <v>#REF!</v>
      </c>
      <c r="CO7" t="e">
        <f>AND(#REF!,"AAAAAG+Zelw=")</f>
        <v>#REF!</v>
      </c>
      <c r="CP7" t="e">
        <f>AND(#REF!,"AAAAAG+Zel0=")</f>
        <v>#REF!</v>
      </c>
      <c r="CQ7" t="e">
        <f>AND(#REF!,"AAAAAG+Zel4=")</f>
        <v>#REF!</v>
      </c>
      <c r="CR7" t="e">
        <f>AND(#REF!,"AAAAAG+Zel8=")</f>
        <v>#REF!</v>
      </c>
      <c r="CS7" t="e">
        <f>AND(#REF!,"AAAAAG+ZemA=")</f>
        <v>#REF!</v>
      </c>
      <c r="CT7" t="e">
        <f>AND(#REF!,"AAAAAG+ZemE=")</f>
        <v>#REF!</v>
      </c>
      <c r="CU7" t="e">
        <f>AND(#REF!,"AAAAAG+ZemI=")</f>
        <v>#REF!</v>
      </c>
      <c r="CV7" t="e">
        <f>IF(#REF!,"AAAAAG+ZemM=",0)</f>
        <v>#REF!</v>
      </c>
      <c r="CW7" t="e">
        <f>AND(#REF!,"AAAAAG+ZemQ=")</f>
        <v>#REF!</v>
      </c>
      <c r="CX7" t="e">
        <f>AND(#REF!,"AAAAAG+ZemU=")</f>
        <v>#REF!</v>
      </c>
      <c r="CY7" t="e">
        <f>AND(#REF!,"AAAAAG+ZemY=")</f>
        <v>#REF!</v>
      </c>
      <c r="CZ7" t="e">
        <f>AND(#REF!,"AAAAAG+Zemc=")</f>
        <v>#REF!</v>
      </c>
      <c r="DA7" t="e">
        <f>AND(#REF!,"AAAAAG+Zemg=")</f>
        <v>#REF!</v>
      </c>
      <c r="DB7" t="e">
        <f>AND(#REF!,"AAAAAG+Zemk=")</f>
        <v>#REF!</v>
      </c>
      <c r="DC7" t="e">
        <f>AND(#REF!,"AAAAAG+Zemo=")</f>
        <v>#REF!</v>
      </c>
      <c r="DD7" t="e">
        <f>AND(#REF!,"AAAAAG+Zems=")</f>
        <v>#REF!</v>
      </c>
      <c r="DE7" t="e">
        <f>AND(#REF!,"AAAAAG+Zemw=")</f>
        <v>#REF!</v>
      </c>
      <c r="DF7" t="e">
        <f>IF(#REF!,"AAAAAG+Zem0=",0)</f>
        <v>#REF!</v>
      </c>
      <c r="DG7" t="e">
        <f>AND(#REF!,"AAAAAG+Zem4=")</f>
        <v>#REF!</v>
      </c>
      <c r="DH7" t="e">
        <f>AND(#REF!,"AAAAAG+Zem8=")</f>
        <v>#REF!</v>
      </c>
      <c r="DI7" t="e">
        <f>AND(#REF!,"AAAAAG+ZenA=")</f>
        <v>#REF!</v>
      </c>
      <c r="DJ7" t="e">
        <f>AND(#REF!,"AAAAAG+ZenE=")</f>
        <v>#REF!</v>
      </c>
      <c r="DK7" t="e">
        <f>AND(#REF!,"AAAAAG+ZenI=")</f>
        <v>#REF!</v>
      </c>
      <c r="DL7" t="e">
        <f>AND(#REF!,"AAAAAG+ZenM=")</f>
        <v>#REF!</v>
      </c>
      <c r="DM7" t="e">
        <f>AND(#REF!,"AAAAAG+ZenQ=")</f>
        <v>#REF!</v>
      </c>
      <c r="DN7" t="e">
        <f>AND(#REF!,"AAAAAG+ZenU=")</f>
        <v>#REF!</v>
      </c>
      <c r="DO7" t="e">
        <f>AND(#REF!,"AAAAAG+ZenY=")</f>
        <v>#REF!</v>
      </c>
      <c r="DP7" t="e">
        <f>IF(#REF!,"AAAAAG+Zenc=",0)</f>
        <v>#REF!</v>
      </c>
      <c r="DQ7" t="e">
        <f>AND(#REF!,"AAAAAG+Zeng=")</f>
        <v>#REF!</v>
      </c>
      <c r="DR7" t="e">
        <f>AND(#REF!,"AAAAAG+Zenk=")</f>
        <v>#REF!</v>
      </c>
      <c r="DS7" t="e">
        <f>AND(#REF!,"AAAAAG+Zeno=")</f>
        <v>#REF!</v>
      </c>
      <c r="DT7" t="e">
        <f>AND(#REF!,"AAAAAG+Zens=")</f>
        <v>#REF!</v>
      </c>
      <c r="DU7" t="e">
        <f>AND(#REF!,"AAAAAG+Zenw=")</f>
        <v>#REF!</v>
      </c>
      <c r="DV7" t="e">
        <f>AND(#REF!,"AAAAAG+Zen0=")</f>
        <v>#REF!</v>
      </c>
      <c r="DW7" t="e">
        <f>AND(#REF!,"AAAAAG+Zen4=")</f>
        <v>#REF!</v>
      </c>
      <c r="DX7" t="e">
        <f>AND(#REF!,"AAAAAG+Zen8=")</f>
        <v>#REF!</v>
      </c>
      <c r="DY7" t="e">
        <f>AND(#REF!,"AAAAAG+ZeoA=")</f>
        <v>#REF!</v>
      </c>
      <c r="DZ7" t="e">
        <f>IF(#REF!,"AAAAAG+ZeoE=",0)</f>
        <v>#REF!</v>
      </c>
      <c r="EA7" t="e">
        <f>AND(#REF!,"AAAAAG+ZeoI=")</f>
        <v>#REF!</v>
      </c>
      <c r="EB7" t="e">
        <f>AND(#REF!,"AAAAAG+ZeoM=")</f>
        <v>#REF!</v>
      </c>
      <c r="EC7" t="e">
        <f>AND(#REF!,"AAAAAG+ZeoQ=")</f>
        <v>#REF!</v>
      </c>
      <c r="ED7" t="e">
        <f>AND(#REF!,"AAAAAG+ZeoU=")</f>
        <v>#REF!</v>
      </c>
      <c r="EE7" t="e">
        <f>AND(#REF!,"AAAAAG+ZeoY=")</f>
        <v>#REF!</v>
      </c>
      <c r="EF7" t="e">
        <f>AND(#REF!,"AAAAAG+Zeoc=")</f>
        <v>#REF!</v>
      </c>
      <c r="EG7" t="e">
        <f>AND(#REF!,"AAAAAG+Zeog=")</f>
        <v>#REF!</v>
      </c>
      <c r="EH7" t="e">
        <f>AND(#REF!,"AAAAAG+Zeok=")</f>
        <v>#REF!</v>
      </c>
      <c r="EI7" t="e">
        <f>AND(#REF!,"AAAAAG+Zeoo=")</f>
        <v>#REF!</v>
      </c>
      <c r="EJ7" t="e">
        <f>IF(#REF!,"AAAAAG+Zeos=",0)</f>
        <v>#REF!</v>
      </c>
      <c r="EK7" t="e">
        <f>AND(#REF!,"AAAAAG+Zeow=")</f>
        <v>#REF!</v>
      </c>
      <c r="EL7" t="e">
        <f>AND(#REF!,"AAAAAG+Zeo0=")</f>
        <v>#REF!</v>
      </c>
      <c r="EM7" t="e">
        <f>AND(#REF!,"AAAAAG+Zeo4=")</f>
        <v>#REF!</v>
      </c>
      <c r="EN7" t="e">
        <f>AND(#REF!,"AAAAAG+Zeo8=")</f>
        <v>#REF!</v>
      </c>
      <c r="EO7" t="e">
        <f>AND(#REF!,"AAAAAG+ZepA=")</f>
        <v>#REF!</v>
      </c>
      <c r="EP7" t="e">
        <f>AND(#REF!,"AAAAAG+ZepE=")</f>
        <v>#REF!</v>
      </c>
      <c r="EQ7" t="e">
        <f>AND(#REF!,"AAAAAG+ZepI=")</f>
        <v>#REF!</v>
      </c>
      <c r="ER7" t="e">
        <f>AND(#REF!,"AAAAAG+ZepM=")</f>
        <v>#REF!</v>
      </c>
      <c r="ES7" t="e">
        <f>AND(#REF!,"AAAAAG+ZepQ=")</f>
        <v>#REF!</v>
      </c>
      <c r="ET7" t="e">
        <f>IF(#REF!,"AAAAAG+ZepU=",0)</f>
        <v>#REF!</v>
      </c>
      <c r="EU7" t="e">
        <f>AND(#REF!,"AAAAAG+ZepY=")</f>
        <v>#REF!</v>
      </c>
      <c r="EV7" t="e">
        <f>AND(#REF!,"AAAAAG+Zepc=")</f>
        <v>#REF!</v>
      </c>
      <c r="EW7" t="e">
        <f>AND(#REF!,"AAAAAG+Zepg=")</f>
        <v>#REF!</v>
      </c>
      <c r="EX7" t="e">
        <f>AND(#REF!,"AAAAAG+Zepk=")</f>
        <v>#REF!</v>
      </c>
      <c r="EY7" t="e">
        <f>AND(#REF!,"AAAAAG+Zepo=")</f>
        <v>#REF!</v>
      </c>
      <c r="EZ7" t="e">
        <f>AND(#REF!,"AAAAAG+Zeps=")</f>
        <v>#REF!</v>
      </c>
      <c r="FA7" t="e">
        <f>AND(#REF!,"AAAAAG+Zepw=")</f>
        <v>#REF!</v>
      </c>
      <c r="FB7" t="e">
        <f>AND(#REF!,"AAAAAG+Zep0=")</f>
        <v>#REF!</v>
      </c>
      <c r="FC7" t="e">
        <f>AND(#REF!,"AAAAAG+Zep4=")</f>
        <v>#REF!</v>
      </c>
      <c r="FD7" t="e">
        <f>IF(#REF!,"AAAAAG+Zep8=",0)</f>
        <v>#REF!</v>
      </c>
      <c r="FE7" t="e">
        <f>AND(#REF!,"AAAAAG+ZeqA=")</f>
        <v>#REF!</v>
      </c>
      <c r="FF7" t="e">
        <f>AND(#REF!,"AAAAAG+ZeqE=")</f>
        <v>#REF!</v>
      </c>
      <c r="FG7" t="e">
        <f>AND(#REF!,"AAAAAG+ZeqI=")</f>
        <v>#REF!</v>
      </c>
      <c r="FH7" t="e">
        <f>AND(#REF!,"AAAAAG+ZeqM=")</f>
        <v>#REF!</v>
      </c>
      <c r="FI7" t="e">
        <f>AND(#REF!,"AAAAAG+ZeqQ=")</f>
        <v>#REF!</v>
      </c>
      <c r="FJ7" t="e">
        <f>AND(#REF!,"AAAAAG+ZeqU=")</f>
        <v>#REF!</v>
      </c>
      <c r="FK7" t="e">
        <f>AND(#REF!,"AAAAAG+ZeqY=")</f>
        <v>#REF!</v>
      </c>
      <c r="FL7" t="e">
        <f>AND(#REF!,"AAAAAG+Zeqc=")</f>
        <v>#REF!</v>
      </c>
      <c r="FM7" t="e">
        <f>AND(#REF!,"AAAAAG+Zeqg=")</f>
        <v>#REF!</v>
      </c>
      <c r="FN7" t="e">
        <f>IF(#REF!,"AAAAAG+Zeqk=",0)</f>
        <v>#REF!</v>
      </c>
      <c r="FO7" t="e">
        <f>AND(#REF!,"AAAAAG+Zeqo=")</f>
        <v>#REF!</v>
      </c>
      <c r="FP7" t="e">
        <f>AND(#REF!,"AAAAAG+Zeqs=")</f>
        <v>#REF!</v>
      </c>
      <c r="FQ7" t="e">
        <f>AND(#REF!,"AAAAAG+Zeqw=")</f>
        <v>#REF!</v>
      </c>
      <c r="FR7" t="e">
        <f>AND(#REF!,"AAAAAG+Zeq0=")</f>
        <v>#REF!</v>
      </c>
      <c r="FS7" t="e">
        <f>AND(#REF!,"AAAAAG+Zeq4=")</f>
        <v>#REF!</v>
      </c>
      <c r="FT7" t="e">
        <f>AND(#REF!,"AAAAAG+Zeq8=")</f>
        <v>#REF!</v>
      </c>
      <c r="FU7" t="e">
        <f>AND(#REF!,"AAAAAG+ZerA=")</f>
        <v>#REF!</v>
      </c>
      <c r="FV7" t="e">
        <f>AND(#REF!,"AAAAAG+ZerE=")</f>
        <v>#REF!</v>
      </c>
      <c r="FW7" t="e">
        <f>AND(#REF!,"AAAAAG+ZerI=")</f>
        <v>#REF!</v>
      </c>
      <c r="FX7" t="e">
        <f>IF(#REF!,"AAAAAG+ZerM=",0)</f>
        <v>#REF!</v>
      </c>
      <c r="FY7" t="e">
        <f>AND(#REF!,"AAAAAG+ZerQ=")</f>
        <v>#REF!</v>
      </c>
      <c r="FZ7" t="e">
        <f>AND(#REF!,"AAAAAG+ZerU=")</f>
        <v>#REF!</v>
      </c>
      <c r="GA7" t="e">
        <f>AND(#REF!,"AAAAAG+ZerY=")</f>
        <v>#REF!</v>
      </c>
      <c r="GB7" t="e">
        <f>AND(#REF!,"AAAAAG+Zerc=")</f>
        <v>#REF!</v>
      </c>
      <c r="GC7" t="e">
        <f>AND(#REF!,"AAAAAG+Zerg=")</f>
        <v>#REF!</v>
      </c>
      <c r="GD7" t="e">
        <f>AND(#REF!,"AAAAAG+Zerk=")</f>
        <v>#REF!</v>
      </c>
      <c r="GE7" t="e">
        <f>AND(#REF!,"AAAAAG+Zero=")</f>
        <v>#REF!</v>
      </c>
      <c r="GF7" t="e">
        <f>AND(#REF!,"AAAAAG+Zers=")</f>
        <v>#REF!</v>
      </c>
      <c r="GG7" t="e">
        <f>AND(#REF!,"AAAAAG+Zerw=")</f>
        <v>#REF!</v>
      </c>
      <c r="GH7" t="e">
        <f>IF(#REF!,"AAAAAG+Zer0=",0)</f>
        <v>#REF!</v>
      </c>
      <c r="GI7" t="e">
        <f>AND(#REF!,"AAAAAG+Zer4=")</f>
        <v>#REF!</v>
      </c>
      <c r="GJ7" t="e">
        <f>AND(#REF!,"AAAAAG+Zer8=")</f>
        <v>#REF!</v>
      </c>
      <c r="GK7" t="e">
        <f>AND(#REF!,"AAAAAG+ZesA=")</f>
        <v>#REF!</v>
      </c>
      <c r="GL7" t="e">
        <f>AND(#REF!,"AAAAAG+ZesE=")</f>
        <v>#REF!</v>
      </c>
      <c r="GM7" t="e">
        <f>AND(#REF!,"AAAAAG+ZesI=")</f>
        <v>#REF!</v>
      </c>
      <c r="GN7" t="e">
        <f>AND(#REF!,"AAAAAG+ZesM=")</f>
        <v>#REF!</v>
      </c>
      <c r="GO7" t="e">
        <f>AND(#REF!,"AAAAAG+ZesQ=")</f>
        <v>#REF!</v>
      </c>
      <c r="GP7" t="e">
        <f>AND(#REF!,"AAAAAG+ZesU=")</f>
        <v>#REF!</v>
      </c>
      <c r="GQ7" t="e">
        <f>AND(#REF!,"AAAAAG+ZesY=")</f>
        <v>#REF!</v>
      </c>
      <c r="GR7" t="e">
        <f>IF(#REF!,"AAAAAG+Zesc=",0)</f>
        <v>#REF!</v>
      </c>
      <c r="GS7" t="e">
        <f>AND(#REF!,"AAAAAG+Zesg=")</f>
        <v>#REF!</v>
      </c>
      <c r="GT7" t="e">
        <f>AND(#REF!,"AAAAAG+Zesk=")</f>
        <v>#REF!</v>
      </c>
      <c r="GU7" t="e">
        <f>AND(#REF!,"AAAAAG+Zeso=")</f>
        <v>#REF!</v>
      </c>
      <c r="GV7" t="e">
        <f>AND(#REF!,"AAAAAG+Zess=")</f>
        <v>#REF!</v>
      </c>
      <c r="GW7" t="e">
        <f>AND(#REF!,"AAAAAG+Zesw=")</f>
        <v>#REF!</v>
      </c>
      <c r="GX7" t="e">
        <f>AND(#REF!,"AAAAAG+Zes0=")</f>
        <v>#REF!</v>
      </c>
      <c r="GY7" t="e">
        <f>AND(#REF!,"AAAAAG+Zes4=")</f>
        <v>#REF!</v>
      </c>
      <c r="GZ7" t="e">
        <f>AND(#REF!,"AAAAAG+Zes8=")</f>
        <v>#REF!</v>
      </c>
      <c r="HA7" t="e">
        <f>AND(#REF!,"AAAAAG+ZetA=")</f>
        <v>#REF!</v>
      </c>
      <c r="HB7" t="e">
        <f>IF(#REF!,"AAAAAG+ZetE=",0)</f>
        <v>#REF!</v>
      </c>
      <c r="HC7" t="e">
        <f>AND(#REF!,"AAAAAG+ZetI=")</f>
        <v>#REF!</v>
      </c>
      <c r="HD7" t="e">
        <f>AND(#REF!,"AAAAAG+ZetM=")</f>
        <v>#REF!</v>
      </c>
      <c r="HE7" t="e">
        <f>AND(#REF!,"AAAAAG+ZetQ=")</f>
        <v>#REF!</v>
      </c>
      <c r="HF7" t="e">
        <f>AND(#REF!,"AAAAAG+ZetU=")</f>
        <v>#REF!</v>
      </c>
      <c r="HG7" t="e">
        <f>AND(#REF!,"AAAAAG+ZetY=")</f>
        <v>#REF!</v>
      </c>
      <c r="HH7" t="e">
        <f>AND(#REF!,"AAAAAG+Zetc=")</f>
        <v>#REF!</v>
      </c>
      <c r="HI7" t="e">
        <f>AND(#REF!,"AAAAAG+Zetg=")</f>
        <v>#REF!</v>
      </c>
      <c r="HJ7" t="e">
        <f>AND(#REF!,"AAAAAG+Zetk=")</f>
        <v>#REF!</v>
      </c>
      <c r="HK7" t="e">
        <f>AND(#REF!,"AAAAAG+Zeto=")</f>
        <v>#REF!</v>
      </c>
      <c r="HL7" t="e">
        <f>IF(#REF!,"AAAAAG+Zets=",0)</f>
        <v>#REF!</v>
      </c>
      <c r="HM7" t="e">
        <f>AND(#REF!,"AAAAAG+Zetw=")</f>
        <v>#REF!</v>
      </c>
      <c r="HN7" t="e">
        <f>AND(#REF!,"AAAAAG+Zet0=")</f>
        <v>#REF!</v>
      </c>
      <c r="HO7" t="e">
        <f>AND(#REF!,"AAAAAG+Zet4=")</f>
        <v>#REF!</v>
      </c>
      <c r="HP7" t="e">
        <f>AND(#REF!,"AAAAAG+Zet8=")</f>
        <v>#REF!</v>
      </c>
      <c r="HQ7" t="e">
        <f>AND(#REF!,"AAAAAG+ZeuA=")</f>
        <v>#REF!</v>
      </c>
      <c r="HR7" t="e">
        <f>AND(#REF!,"AAAAAG+ZeuE=")</f>
        <v>#REF!</v>
      </c>
      <c r="HS7" t="e">
        <f>AND(#REF!,"AAAAAG+ZeuI=")</f>
        <v>#REF!</v>
      </c>
      <c r="HT7" t="e">
        <f>AND(#REF!,"AAAAAG+ZeuM=")</f>
        <v>#REF!</v>
      </c>
      <c r="HU7" t="e">
        <f>AND(#REF!,"AAAAAG+ZeuQ=")</f>
        <v>#REF!</v>
      </c>
      <c r="HV7" t="e">
        <f>IF(#REF!,"AAAAAG+ZeuU=",0)</f>
        <v>#REF!</v>
      </c>
      <c r="HW7" t="e">
        <f>AND(#REF!,"AAAAAG+ZeuY=")</f>
        <v>#REF!</v>
      </c>
      <c r="HX7" t="e">
        <f>AND(#REF!,"AAAAAG+Zeuc=")</f>
        <v>#REF!</v>
      </c>
      <c r="HY7" t="e">
        <f>AND(#REF!,"AAAAAG+Zeug=")</f>
        <v>#REF!</v>
      </c>
      <c r="HZ7" t="e">
        <f>AND(#REF!,"AAAAAG+Zeuk=")</f>
        <v>#REF!</v>
      </c>
      <c r="IA7" t="e">
        <f>AND(#REF!,"AAAAAG+Zeuo=")</f>
        <v>#REF!</v>
      </c>
      <c r="IB7" t="e">
        <f>AND(#REF!,"AAAAAG+Zeus=")</f>
        <v>#REF!</v>
      </c>
      <c r="IC7" t="e">
        <f>AND(#REF!,"AAAAAG+Zeuw=")</f>
        <v>#REF!</v>
      </c>
      <c r="ID7" t="e">
        <f>AND(#REF!,"AAAAAG+Zeu0=")</f>
        <v>#REF!</v>
      </c>
      <c r="IE7" t="e">
        <f>AND(#REF!,"AAAAAG+Zeu4=")</f>
        <v>#REF!</v>
      </c>
      <c r="IF7" t="e">
        <f>IF(#REF!,"AAAAAG+Zeu8=",0)</f>
        <v>#REF!</v>
      </c>
      <c r="IG7" t="e">
        <f>AND(#REF!,"AAAAAG+ZevA=")</f>
        <v>#REF!</v>
      </c>
      <c r="IH7" t="e">
        <f>AND(#REF!,"AAAAAG+ZevE=")</f>
        <v>#REF!</v>
      </c>
      <c r="II7" t="e">
        <f>AND(#REF!,"AAAAAG+ZevI=")</f>
        <v>#REF!</v>
      </c>
      <c r="IJ7" t="e">
        <f>AND(#REF!,"AAAAAG+ZevM=")</f>
        <v>#REF!</v>
      </c>
      <c r="IK7" t="e">
        <f>AND(#REF!,"AAAAAG+ZevQ=")</f>
        <v>#REF!</v>
      </c>
      <c r="IL7" t="e">
        <f>AND(#REF!,"AAAAAG+ZevU=")</f>
        <v>#REF!</v>
      </c>
      <c r="IM7" t="e">
        <f>AND(#REF!,"AAAAAG+ZevY=")</f>
        <v>#REF!</v>
      </c>
      <c r="IN7" t="e">
        <f>AND(#REF!,"AAAAAG+Zevc=")</f>
        <v>#REF!</v>
      </c>
      <c r="IO7" t="e">
        <f>AND(#REF!,"AAAAAG+Zevg=")</f>
        <v>#REF!</v>
      </c>
      <c r="IP7" t="e">
        <f>IF(#REF!,"AAAAAG+Zevk=",0)</f>
        <v>#REF!</v>
      </c>
      <c r="IQ7" t="e">
        <f>AND(#REF!,"AAAAAG+Zevo=")</f>
        <v>#REF!</v>
      </c>
      <c r="IR7" t="e">
        <f>AND(#REF!,"AAAAAG+Zevs=")</f>
        <v>#REF!</v>
      </c>
      <c r="IS7" t="e">
        <f>AND(#REF!,"AAAAAG+Zevw=")</f>
        <v>#REF!</v>
      </c>
      <c r="IT7" t="e">
        <f>AND(#REF!,"AAAAAG+Zev0=")</f>
        <v>#REF!</v>
      </c>
      <c r="IU7" t="e">
        <f>AND(#REF!,"AAAAAG+Zev4=")</f>
        <v>#REF!</v>
      </c>
      <c r="IV7" t="e">
        <f>AND(#REF!,"AAAAAG+Zev8=")</f>
        <v>#REF!</v>
      </c>
    </row>
    <row r="8" spans="1:256" ht="15">
      <c r="A8" t="e">
        <f>AND(#REF!,"AAAAAH//5gA=")</f>
        <v>#REF!</v>
      </c>
      <c r="B8" t="e">
        <f>AND(#REF!,"AAAAAH//5gE=")</f>
        <v>#REF!</v>
      </c>
      <c r="C8" t="e">
        <f>AND(#REF!,"AAAAAH//5gI=")</f>
        <v>#REF!</v>
      </c>
      <c r="D8" t="e">
        <f>IF(#REF!,"AAAAAH//5gM=",0)</f>
        <v>#REF!</v>
      </c>
      <c r="E8" t="e">
        <f>AND(#REF!,"AAAAAH//5gQ=")</f>
        <v>#REF!</v>
      </c>
      <c r="F8" t="e">
        <f>AND(#REF!,"AAAAAH//5gU=")</f>
        <v>#REF!</v>
      </c>
      <c r="G8" t="e">
        <f>AND(#REF!,"AAAAAH//5gY=")</f>
        <v>#REF!</v>
      </c>
      <c r="H8" t="e">
        <f>AND(#REF!,"AAAAAH//5gc=")</f>
        <v>#REF!</v>
      </c>
      <c r="I8" t="e">
        <f>AND(#REF!,"AAAAAH//5gg=")</f>
        <v>#REF!</v>
      </c>
      <c r="J8" t="e">
        <f>AND(#REF!,"AAAAAH//5gk=")</f>
        <v>#REF!</v>
      </c>
      <c r="K8" t="e">
        <f>AND(#REF!,"AAAAAH//5go=")</f>
        <v>#REF!</v>
      </c>
      <c r="L8" t="e">
        <f>AND(#REF!,"AAAAAH//5gs=")</f>
        <v>#REF!</v>
      </c>
      <c r="M8" t="e">
        <f>AND(#REF!,"AAAAAH//5gw=")</f>
        <v>#REF!</v>
      </c>
      <c r="N8" t="e">
        <f>IF(#REF!,"AAAAAH//5g0=",0)</f>
        <v>#REF!</v>
      </c>
      <c r="O8" t="e">
        <f>AND(#REF!,"AAAAAH//5g4=")</f>
        <v>#REF!</v>
      </c>
      <c r="P8" t="e">
        <f>AND(#REF!,"AAAAAH//5g8=")</f>
        <v>#REF!</v>
      </c>
      <c r="Q8" t="e">
        <f>AND(#REF!,"AAAAAH//5hA=")</f>
        <v>#REF!</v>
      </c>
      <c r="R8" t="e">
        <f>AND(#REF!,"AAAAAH//5hE=")</f>
        <v>#REF!</v>
      </c>
      <c r="S8" t="e">
        <f>AND(#REF!,"AAAAAH//5hI=")</f>
        <v>#REF!</v>
      </c>
      <c r="T8" t="e">
        <f>AND(#REF!,"AAAAAH//5hM=")</f>
        <v>#REF!</v>
      </c>
      <c r="U8" t="e">
        <f>AND(#REF!,"AAAAAH//5hQ=")</f>
        <v>#REF!</v>
      </c>
      <c r="V8" t="e">
        <f>AND(#REF!,"AAAAAH//5hU=")</f>
        <v>#REF!</v>
      </c>
      <c r="W8" t="e">
        <f>AND(#REF!,"AAAAAH//5hY=")</f>
        <v>#REF!</v>
      </c>
      <c r="X8" t="e">
        <f>IF(#REF!,"AAAAAH//5hc=",0)</f>
        <v>#REF!</v>
      </c>
      <c r="Y8" t="e">
        <f>AND(#REF!,"AAAAAH//5hg=")</f>
        <v>#REF!</v>
      </c>
      <c r="Z8" t="e">
        <f>AND(#REF!,"AAAAAH//5hk=")</f>
        <v>#REF!</v>
      </c>
      <c r="AA8" t="e">
        <f>AND(#REF!,"AAAAAH//5ho=")</f>
        <v>#REF!</v>
      </c>
      <c r="AB8" t="e">
        <f>AND(#REF!,"AAAAAH//5hs=")</f>
        <v>#REF!</v>
      </c>
      <c r="AC8" t="e">
        <f>AND(#REF!,"AAAAAH//5hw=")</f>
        <v>#REF!</v>
      </c>
      <c r="AD8" t="e">
        <f>AND(#REF!,"AAAAAH//5h0=")</f>
        <v>#REF!</v>
      </c>
      <c r="AE8" t="e">
        <f>AND(#REF!,"AAAAAH//5h4=")</f>
        <v>#REF!</v>
      </c>
      <c r="AF8" t="e">
        <f>AND(#REF!,"AAAAAH//5h8=")</f>
        <v>#REF!</v>
      </c>
      <c r="AG8" t="e">
        <f>AND(#REF!,"AAAAAH//5iA=")</f>
        <v>#REF!</v>
      </c>
      <c r="AH8" t="e">
        <f>IF(#REF!,"AAAAAH//5iE=",0)</f>
        <v>#REF!</v>
      </c>
      <c r="AI8" t="e">
        <f>AND(#REF!,"AAAAAH//5iI=")</f>
        <v>#REF!</v>
      </c>
      <c r="AJ8" t="e">
        <f>AND(#REF!,"AAAAAH//5iM=")</f>
        <v>#REF!</v>
      </c>
      <c r="AK8" t="e">
        <f>AND(#REF!,"AAAAAH//5iQ=")</f>
        <v>#REF!</v>
      </c>
      <c r="AL8" t="e">
        <f>AND(#REF!,"AAAAAH//5iU=")</f>
        <v>#REF!</v>
      </c>
      <c r="AM8" t="e">
        <f>AND(#REF!,"AAAAAH//5iY=")</f>
        <v>#REF!</v>
      </c>
      <c r="AN8" t="e">
        <f>AND(#REF!,"AAAAAH//5ic=")</f>
        <v>#REF!</v>
      </c>
      <c r="AO8" t="e">
        <f>AND(#REF!,"AAAAAH//5ig=")</f>
        <v>#REF!</v>
      </c>
      <c r="AP8" t="e">
        <f>AND(#REF!,"AAAAAH//5ik=")</f>
        <v>#REF!</v>
      </c>
      <c r="AQ8" t="e">
        <f>AND(#REF!,"AAAAAH//5io=")</f>
        <v>#REF!</v>
      </c>
      <c r="AR8" t="e">
        <f>IF(#REF!,"AAAAAH//5is=",0)</f>
        <v>#REF!</v>
      </c>
      <c r="AS8" t="e">
        <f>AND(#REF!,"AAAAAH//5iw=")</f>
        <v>#REF!</v>
      </c>
      <c r="AT8" t="e">
        <f>AND(#REF!,"AAAAAH//5i0=")</f>
        <v>#REF!</v>
      </c>
      <c r="AU8" t="e">
        <f>AND(#REF!,"AAAAAH//5i4=")</f>
        <v>#REF!</v>
      </c>
      <c r="AV8" t="e">
        <f>AND(#REF!,"AAAAAH//5i8=")</f>
        <v>#REF!</v>
      </c>
      <c r="AW8" t="e">
        <f>AND(#REF!,"AAAAAH//5jA=")</f>
        <v>#REF!</v>
      </c>
      <c r="AX8" t="e">
        <f>AND(#REF!,"AAAAAH//5jE=")</f>
        <v>#REF!</v>
      </c>
      <c r="AY8" t="e">
        <f>AND(#REF!,"AAAAAH//5jI=")</f>
        <v>#REF!</v>
      </c>
      <c r="AZ8" t="e">
        <f>AND(#REF!,"AAAAAH//5jM=")</f>
        <v>#REF!</v>
      </c>
      <c r="BA8" t="e">
        <f>AND(#REF!,"AAAAAH//5jQ=")</f>
        <v>#REF!</v>
      </c>
      <c r="BB8" t="e">
        <f>IF(#REF!,"AAAAAH//5jU=",0)</f>
        <v>#REF!</v>
      </c>
      <c r="BC8" t="e">
        <f>AND(#REF!,"AAAAAH//5jY=")</f>
        <v>#REF!</v>
      </c>
      <c r="BD8" t="e">
        <f>AND(#REF!,"AAAAAH//5jc=")</f>
        <v>#REF!</v>
      </c>
      <c r="BE8" t="e">
        <f>AND(#REF!,"AAAAAH//5jg=")</f>
        <v>#REF!</v>
      </c>
      <c r="BF8" t="e">
        <f>AND(#REF!,"AAAAAH//5jk=")</f>
        <v>#REF!</v>
      </c>
      <c r="BG8" t="e">
        <f>AND(#REF!,"AAAAAH//5jo=")</f>
        <v>#REF!</v>
      </c>
      <c r="BH8" t="e">
        <f>AND(#REF!,"AAAAAH//5js=")</f>
        <v>#REF!</v>
      </c>
      <c r="BI8" t="e">
        <f>AND(#REF!,"AAAAAH//5jw=")</f>
        <v>#REF!</v>
      </c>
      <c r="BJ8" t="e">
        <f>AND(#REF!,"AAAAAH//5j0=")</f>
        <v>#REF!</v>
      </c>
      <c r="BK8" t="e">
        <f>AND(#REF!,"AAAAAH//5j4=")</f>
        <v>#REF!</v>
      </c>
      <c r="BL8" t="e">
        <f>IF(#REF!,"AAAAAH//5j8=",0)</f>
        <v>#REF!</v>
      </c>
      <c r="BM8" t="e">
        <f>AND(#REF!,"AAAAAH//5kA=")</f>
        <v>#REF!</v>
      </c>
      <c r="BN8" t="e">
        <f>AND(#REF!,"AAAAAH//5kE=")</f>
        <v>#REF!</v>
      </c>
      <c r="BO8" t="e">
        <f>AND(#REF!,"AAAAAH//5kI=")</f>
        <v>#REF!</v>
      </c>
      <c r="BP8" t="e">
        <f>AND(#REF!,"AAAAAH//5kM=")</f>
        <v>#REF!</v>
      </c>
      <c r="BQ8" t="e">
        <f>AND(#REF!,"AAAAAH//5kQ=")</f>
        <v>#REF!</v>
      </c>
      <c r="BR8" t="e">
        <f>AND(#REF!,"AAAAAH//5kU=")</f>
        <v>#REF!</v>
      </c>
      <c r="BS8" t="e">
        <f>AND(#REF!,"AAAAAH//5kY=")</f>
        <v>#REF!</v>
      </c>
      <c r="BT8" t="e">
        <f>AND(#REF!,"AAAAAH//5kc=")</f>
        <v>#REF!</v>
      </c>
      <c r="BU8" t="e">
        <f>AND(#REF!,"AAAAAH//5kg=")</f>
        <v>#REF!</v>
      </c>
      <c r="BV8" t="e">
        <f>IF(#REF!,"AAAAAH//5kk=",0)</f>
        <v>#REF!</v>
      </c>
      <c r="BW8" t="e">
        <f>AND(#REF!,"AAAAAH//5ko=")</f>
        <v>#REF!</v>
      </c>
      <c r="BX8" t="e">
        <f>AND(#REF!,"AAAAAH//5ks=")</f>
        <v>#REF!</v>
      </c>
      <c r="BY8" t="e">
        <f>AND(#REF!,"AAAAAH//5kw=")</f>
        <v>#REF!</v>
      </c>
      <c r="BZ8" t="e">
        <f>AND(#REF!,"AAAAAH//5k0=")</f>
        <v>#REF!</v>
      </c>
      <c r="CA8" t="e">
        <f>AND(#REF!,"AAAAAH//5k4=")</f>
        <v>#REF!</v>
      </c>
      <c r="CB8" t="e">
        <f>AND(#REF!,"AAAAAH//5k8=")</f>
        <v>#REF!</v>
      </c>
      <c r="CC8" t="e">
        <f>AND(#REF!,"AAAAAH//5lA=")</f>
        <v>#REF!</v>
      </c>
      <c r="CD8" t="e">
        <f>AND(#REF!,"AAAAAH//5lE=")</f>
        <v>#REF!</v>
      </c>
      <c r="CE8" t="e">
        <f>AND(#REF!,"AAAAAH//5lI=")</f>
        <v>#REF!</v>
      </c>
      <c r="CF8" t="e">
        <f>IF(#REF!,"AAAAAH//5lM=",0)</f>
        <v>#REF!</v>
      </c>
      <c r="CG8" t="e">
        <f>AND(#REF!,"AAAAAH//5lQ=")</f>
        <v>#REF!</v>
      </c>
      <c r="CH8" t="e">
        <f>AND(#REF!,"AAAAAH//5lU=")</f>
        <v>#REF!</v>
      </c>
      <c r="CI8" t="e">
        <f>AND(#REF!,"AAAAAH//5lY=")</f>
        <v>#REF!</v>
      </c>
      <c r="CJ8" t="e">
        <f>AND(#REF!,"AAAAAH//5lc=")</f>
        <v>#REF!</v>
      </c>
      <c r="CK8" t="e">
        <f>AND(#REF!,"AAAAAH//5lg=")</f>
        <v>#REF!</v>
      </c>
      <c r="CL8" t="e">
        <f>AND(#REF!,"AAAAAH//5lk=")</f>
        <v>#REF!</v>
      </c>
      <c r="CM8" t="e">
        <f>AND(#REF!,"AAAAAH//5lo=")</f>
        <v>#REF!</v>
      </c>
      <c r="CN8" t="e">
        <f>AND(#REF!,"AAAAAH//5ls=")</f>
        <v>#REF!</v>
      </c>
      <c r="CO8" t="e">
        <f>AND(#REF!,"AAAAAH//5lw=")</f>
        <v>#REF!</v>
      </c>
      <c r="CP8" t="e">
        <f>IF(#REF!,"AAAAAH//5l0=",0)</f>
        <v>#REF!</v>
      </c>
      <c r="CQ8" t="e">
        <f>AND(#REF!,"AAAAAH//5l4=")</f>
        <v>#REF!</v>
      </c>
      <c r="CR8" t="e">
        <f>AND(#REF!,"AAAAAH//5l8=")</f>
        <v>#REF!</v>
      </c>
      <c r="CS8" t="e">
        <f>AND(#REF!,"AAAAAH//5mA=")</f>
        <v>#REF!</v>
      </c>
      <c r="CT8" t="e">
        <f>AND(#REF!,"AAAAAH//5mE=")</f>
        <v>#REF!</v>
      </c>
      <c r="CU8" t="e">
        <f>AND(#REF!,"AAAAAH//5mI=")</f>
        <v>#REF!</v>
      </c>
      <c r="CV8" t="e">
        <f>AND(#REF!,"AAAAAH//5mM=")</f>
        <v>#REF!</v>
      </c>
      <c r="CW8" t="e">
        <f>AND(#REF!,"AAAAAH//5mQ=")</f>
        <v>#REF!</v>
      </c>
      <c r="CX8" t="e">
        <f>AND(#REF!,"AAAAAH//5mU=")</f>
        <v>#REF!</v>
      </c>
      <c r="CY8" t="e">
        <f>AND(#REF!,"AAAAAH//5mY=")</f>
        <v>#REF!</v>
      </c>
      <c r="CZ8" t="e">
        <f>IF(#REF!,"AAAAAH//5mc=",0)</f>
        <v>#REF!</v>
      </c>
      <c r="DA8" t="e">
        <f>AND(#REF!,"AAAAAH//5mg=")</f>
        <v>#REF!</v>
      </c>
      <c r="DB8" t="e">
        <f>AND(#REF!,"AAAAAH//5mk=")</f>
        <v>#REF!</v>
      </c>
      <c r="DC8" t="e">
        <f>AND(#REF!,"AAAAAH//5mo=")</f>
        <v>#REF!</v>
      </c>
      <c r="DD8" t="e">
        <f>AND(#REF!,"AAAAAH//5ms=")</f>
        <v>#REF!</v>
      </c>
      <c r="DE8" t="e">
        <f>AND(#REF!,"AAAAAH//5mw=")</f>
        <v>#REF!</v>
      </c>
      <c r="DF8" t="e">
        <f>AND(#REF!,"AAAAAH//5m0=")</f>
        <v>#REF!</v>
      </c>
      <c r="DG8" t="e">
        <f>AND(#REF!,"AAAAAH//5m4=")</f>
        <v>#REF!</v>
      </c>
      <c r="DH8" t="e">
        <f>AND(#REF!,"AAAAAH//5m8=")</f>
        <v>#REF!</v>
      </c>
      <c r="DI8" t="e">
        <f>AND(#REF!,"AAAAAH//5nA=")</f>
        <v>#REF!</v>
      </c>
      <c r="DJ8" t="e">
        <f>IF(#REF!,"AAAAAH//5nE=",0)</f>
        <v>#REF!</v>
      </c>
      <c r="DK8" t="e">
        <f>AND(#REF!,"AAAAAH//5nI=")</f>
        <v>#REF!</v>
      </c>
      <c r="DL8" t="e">
        <f>AND(#REF!,"AAAAAH//5nM=")</f>
        <v>#REF!</v>
      </c>
      <c r="DM8" t="e">
        <f>AND(#REF!,"AAAAAH//5nQ=")</f>
        <v>#REF!</v>
      </c>
      <c r="DN8" t="e">
        <f>AND(#REF!,"AAAAAH//5nU=")</f>
        <v>#REF!</v>
      </c>
      <c r="DO8" t="e">
        <f>AND(#REF!,"AAAAAH//5nY=")</f>
        <v>#REF!</v>
      </c>
      <c r="DP8" t="e">
        <f>AND(#REF!,"AAAAAH//5nc=")</f>
        <v>#REF!</v>
      </c>
      <c r="DQ8" t="e">
        <f>AND(#REF!,"AAAAAH//5ng=")</f>
        <v>#REF!</v>
      </c>
      <c r="DR8" t="e">
        <f>AND(#REF!,"AAAAAH//5nk=")</f>
        <v>#REF!</v>
      </c>
      <c r="DS8" t="e">
        <f>AND(#REF!,"AAAAAH//5no=")</f>
        <v>#REF!</v>
      </c>
      <c r="DT8" t="e">
        <f>IF(#REF!,"AAAAAH//5ns=",0)</f>
        <v>#REF!</v>
      </c>
      <c r="DU8" t="e">
        <f>AND(#REF!,"AAAAAH//5nw=")</f>
        <v>#REF!</v>
      </c>
      <c r="DV8" t="e">
        <f>AND(#REF!,"AAAAAH//5n0=")</f>
        <v>#REF!</v>
      </c>
      <c r="DW8" t="e">
        <f>AND(#REF!,"AAAAAH//5n4=")</f>
        <v>#REF!</v>
      </c>
      <c r="DX8" t="e">
        <f>AND(#REF!,"AAAAAH//5n8=")</f>
        <v>#REF!</v>
      </c>
      <c r="DY8" t="e">
        <f>AND(#REF!,"AAAAAH//5oA=")</f>
        <v>#REF!</v>
      </c>
      <c r="DZ8" t="e">
        <f>AND(#REF!,"AAAAAH//5oE=")</f>
        <v>#REF!</v>
      </c>
      <c r="EA8" t="e">
        <f>AND(#REF!,"AAAAAH//5oI=")</f>
        <v>#REF!</v>
      </c>
      <c r="EB8" t="e">
        <f>AND(#REF!,"AAAAAH//5oM=")</f>
        <v>#REF!</v>
      </c>
      <c r="EC8" t="e">
        <f>AND(#REF!,"AAAAAH//5oQ=")</f>
        <v>#REF!</v>
      </c>
      <c r="ED8" t="e">
        <f>IF(#REF!,"AAAAAH//5oU=",0)</f>
        <v>#REF!</v>
      </c>
      <c r="EE8" t="e">
        <f>AND(#REF!,"AAAAAH//5oY=")</f>
        <v>#REF!</v>
      </c>
      <c r="EF8" t="e">
        <f>AND(#REF!,"AAAAAH//5oc=")</f>
        <v>#REF!</v>
      </c>
      <c r="EG8" t="e">
        <f>AND(#REF!,"AAAAAH//5og=")</f>
        <v>#REF!</v>
      </c>
      <c r="EH8" t="e">
        <f>AND(#REF!,"AAAAAH//5ok=")</f>
        <v>#REF!</v>
      </c>
      <c r="EI8" t="e">
        <f>AND(#REF!,"AAAAAH//5oo=")</f>
        <v>#REF!</v>
      </c>
      <c r="EJ8" t="e">
        <f>AND(#REF!,"AAAAAH//5os=")</f>
        <v>#REF!</v>
      </c>
      <c r="EK8" t="e">
        <f>AND(#REF!,"AAAAAH//5ow=")</f>
        <v>#REF!</v>
      </c>
      <c r="EL8" t="e">
        <f>AND(#REF!,"AAAAAH//5o0=")</f>
        <v>#REF!</v>
      </c>
      <c r="EM8" t="e">
        <f>AND(#REF!,"AAAAAH//5o4=")</f>
        <v>#REF!</v>
      </c>
      <c r="EN8" t="e">
        <f>IF(#REF!,"AAAAAH//5o8=",0)</f>
        <v>#REF!</v>
      </c>
      <c r="EO8" t="e">
        <f>AND(#REF!,"AAAAAH//5pA=")</f>
        <v>#REF!</v>
      </c>
      <c r="EP8" t="e">
        <f>AND(#REF!,"AAAAAH//5pE=")</f>
        <v>#REF!</v>
      </c>
      <c r="EQ8" t="e">
        <f>AND(#REF!,"AAAAAH//5pI=")</f>
        <v>#REF!</v>
      </c>
      <c r="ER8" t="e">
        <f>AND(#REF!,"AAAAAH//5pM=")</f>
        <v>#REF!</v>
      </c>
      <c r="ES8" t="e">
        <f>AND(#REF!,"AAAAAH//5pQ=")</f>
        <v>#REF!</v>
      </c>
      <c r="ET8" t="e">
        <f>AND(#REF!,"AAAAAH//5pU=")</f>
        <v>#REF!</v>
      </c>
      <c r="EU8" t="e">
        <f>AND(#REF!,"AAAAAH//5pY=")</f>
        <v>#REF!</v>
      </c>
      <c r="EV8" t="e">
        <f>AND(#REF!,"AAAAAH//5pc=")</f>
        <v>#REF!</v>
      </c>
      <c r="EW8" t="e">
        <f>AND(#REF!,"AAAAAH//5pg=")</f>
        <v>#REF!</v>
      </c>
      <c r="EX8" t="e">
        <f>IF(#REF!,"AAAAAH//5pk=",0)</f>
        <v>#REF!</v>
      </c>
      <c r="EY8" t="e">
        <f>AND(#REF!,"AAAAAH//5po=")</f>
        <v>#REF!</v>
      </c>
      <c r="EZ8" t="e">
        <f>AND(#REF!,"AAAAAH//5ps=")</f>
        <v>#REF!</v>
      </c>
      <c r="FA8" t="e">
        <f>AND(#REF!,"AAAAAH//5pw=")</f>
        <v>#REF!</v>
      </c>
      <c r="FB8" t="e">
        <f>AND(#REF!,"AAAAAH//5p0=")</f>
        <v>#REF!</v>
      </c>
      <c r="FC8" t="e">
        <f>AND(#REF!,"AAAAAH//5p4=")</f>
        <v>#REF!</v>
      </c>
      <c r="FD8" t="e">
        <f>AND(#REF!,"AAAAAH//5p8=")</f>
        <v>#REF!</v>
      </c>
      <c r="FE8" t="e">
        <f>AND(#REF!,"AAAAAH//5qA=")</f>
        <v>#REF!</v>
      </c>
      <c r="FF8" t="e">
        <f>AND(#REF!,"AAAAAH//5qE=")</f>
        <v>#REF!</v>
      </c>
      <c r="FG8" t="e">
        <f>AND(#REF!,"AAAAAH//5qI=")</f>
        <v>#REF!</v>
      </c>
      <c r="FH8" t="e">
        <f>IF(#REF!,"AAAAAH//5qM=",0)</f>
        <v>#REF!</v>
      </c>
      <c r="FI8" t="e">
        <f>AND(#REF!,"AAAAAH//5qQ=")</f>
        <v>#REF!</v>
      </c>
      <c r="FJ8" t="e">
        <f>AND(#REF!,"AAAAAH//5qU=")</f>
        <v>#REF!</v>
      </c>
      <c r="FK8" t="e">
        <f>AND(#REF!,"AAAAAH//5qY=")</f>
        <v>#REF!</v>
      </c>
      <c r="FL8" t="e">
        <f>AND(#REF!,"AAAAAH//5qc=")</f>
        <v>#REF!</v>
      </c>
      <c r="FM8" t="e">
        <f>AND(#REF!,"AAAAAH//5qg=")</f>
        <v>#REF!</v>
      </c>
      <c r="FN8" t="e">
        <f>AND(#REF!,"AAAAAH//5qk=")</f>
        <v>#REF!</v>
      </c>
      <c r="FO8" t="e">
        <f>AND(#REF!,"AAAAAH//5qo=")</f>
        <v>#REF!</v>
      </c>
      <c r="FP8" t="e">
        <f>AND(#REF!,"AAAAAH//5qs=")</f>
        <v>#REF!</v>
      </c>
      <c r="FQ8" t="e">
        <f>AND(#REF!,"AAAAAH//5qw=")</f>
        <v>#REF!</v>
      </c>
      <c r="FR8" t="e">
        <f>IF(#REF!,"AAAAAH//5q0=",0)</f>
        <v>#REF!</v>
      </c>
      <c r="FS8" t="e">
        <f>AND(#REF!,"AAAAAH//5q4=")</f>
        <v>#REF!</v>
      </c>
      <c r="FT8" t="e">
        <f>AND(#REF!,"AAAAAH//5q8=")</f>
        <v>#REF!</v>
      </c>
      <c r="FU8" t="e">
        <f>AND(#REF!,"AAAAAH//5rA=")</f>
        <v>#REF!</v>
      </c>
      <c r="FV8" t="e">
        <f>AND(#REF!,"AAAAAH//5rE=")</f>
        <v>#REF!</v>
      </c>
      <c r="FW8" t="e">
        <f>AND(#REF!,"AAAAAH//5rI=")</f>
        <v>#REF!</v>
      </c>
      <c r="FX8" t="e">
        <f>AND(#REF!,"AAAAAH//5rM=")</f>
        <v>#REF!</v>
      </c>
      <c r="FY8" t="e">
        <f>AND(#REF!,"AAAAAH//5rQ=")</f>
        <v>#REF!</v>
      </c>
      <c r="FZ8" t="e">
        <f>AND(#REF!,"AAAAAH//5rU=")</f>
        <v>#REF!</v>
      </c>
      <c r="GA8" t="e">
        <f>AND(#REF!,"AAAAAH//5rY=")</f>
        <v>#REF!</v>
      </c>
      <c r="GB8" t="e">
        <f>IF(#REF!,"AAAAAH//5rc=",0)</f>
        <v>#REF!</v>
      </c>
      <c r="GC8" t="e">
        <f>AND(#REF!,"AAAAAH//5rg=")</f>
        <v>#REF!</v>
      </c>
      <c r="GD8" t="e">
        <f>AND(#REF!,"AAAAAH//5rk=")</f>
        <v>#REF!</v>
      </c>
      <c r="GE8" t="e">
        <f>AND(#REF!,"AAAAAH//5ro=")</f>
        <v>#REF!</v>
      </c>
      <c r="GF8" t="e">
        <f>AND(#REF!,"AAAAAH//5rs=")</f>
        <v>#REF!</v>
      </c>
      <c r="GG8" t="e">
        <f>AND(#REF!,"AAAAAH//5rw=")</f>
        <v>#REF!</v>
      </c>
      <c r="GH8" t="e">
        <f>AND(#REF!,"AAAAAH//5r0=")</f>
        <v>#REF!</v>
      </c>
      <c r="GI8" t="e">
        <f>AND(#REF!,"AAAAAH//5r4=")</f>
        <v>#REF!</v>
      </c>
      <c r="GJ8" t="e">
        <f>AND(#REF!,"AAAAAH//5r8=")</f>
        <v>#REF!</v>
      </c>
      <c r="GK8" t="e">
        <f>AND(#REF!,"AAAAAH//5sA=")</f>
        <v>#REF!</v>
      </c>
      <c r="GL8" t="e">
        <f>IF(#REF!,"AAAAAH//5sE=",0)</f>
        <v>#REF!</v>
      </c>
      <c r="GM8" t="e">
        <f>AND(#REF!,"AAAAAH//5sI=")</f>
        <v>#REF!</v>
      </c>
      <c r="GN8" t="e">
        <f>AND(#REF!,"AAAAAH//5sM=")</f>
        <v>#REF!</v>
      </c>
      <c r="GO8" t="e">
        <f>AND(#REF!,"AAAAAH//5sQ=")</f>
        <v>#REF!</v>
      </c>
      <c r="GP8" t="e">
        <f>AND(#REF!,"AAAAAH//5sU=")</f>
        <v>#REF!</v>
      </c>
      <c r="GQ8" t="e">
        <f>AND(#REF!,"AAAAAH//5sY=")</f>
        <v>#REF!</v>
      </c>
      <c r="GR8" t="e">
        <f>AND(#REF!,"AAAAAH//5sc=")</f>
        <v>#REF!</v>
      </c>
      <c r="GS8" t="e">
        <f>AND(#REF!,"AAAAAH//5sg=")</f>
        <v>#REF!</v>
      </c>
      <c r="GT8" t="e">
        <f>AND(#REF!,"AAAAAH//5sk=")</f>
        <v>#REF!</v>
      </c>
      <c r="GU8" t="e">
        <f>AND(#REF!,"AAAAAH//5so=")</f>
        <v>#REF!</v>
      </c>
      <c r="GV8" t="e">
        <f>IF(#REF!,"AAAAAH//5ss=",0)</f>
        <v>#REF!</v>
      </c>
      <c r="GW8" t="e">
        <f>AND(#REF!,"AAAAAH//5sw=")</f>
        <v>#REF!</v>
      </c>
      <c r="GX8" t="e">
        <f>AND(#REF!,"AAAAAH//5s0=")</f>
        <v>#REF!</v>
      </c>
      <c r="GY8" t="e">
        <f>AND(#REF!,"AAAAAH//5s4=")</f>
        <v>#REF!</v>
      </c>
      <c r="GZ8" t="e">
        <f>AND(#REF!,"AAAAAH//5s8=")</f>
        <v>#REF!</v>
      </c>
      <c r="HA8" t="e">
        <f>AND(#REF!,"AAAAAH//5tA=")</f>
        <v>#REF!</v>
      </c>
      <c r="HB8" t="e">
        <f>AND(#REF!,"AAAAAH//5tE=")</f>
        <v>#REF!</v>
      </c>
      <c r="HC8" t="e">
        <f>AND(#REF!,"AAAAAH//5tI=")</f>
        <v>#REF!</v>
      </c>
      <c r="HD8" t="e">
        <f>AND(#REF!,"AAAAAH//5tM=")</f>
        <v>#REF!</v>
      </c>
      <c r="HE8" t="e">
        <f>AND(#REF!,"AAAAAH//5tQ=")</f>
        <v>#REF!</v>
      </c>
      <c r="HF8" t="e">
        <f>IF(#REF!,"AAAAAH//5tU=",0)</f>
        <v>#REF!</v>
      </c>
      <c r="HG8" t="e">
        <f>AND(#REF!,"AAAAAH//5tY=")</f>
        <v>#REF!</v>
      </c>
      <c r="HH8" t="e">
        <f>AND(#REF!,"AAAAAH//5tc=")</f>
        <v>#REF!</v>
      </c>
      <c r="HI8" t="e">
        <f>AND(#REF!,"AAAAAH//5tg=")</f>
        <v>#REF!</v>
      </c>
      <c r="HJ8" t="e">
        <f>AND(#REF!,"AAAAAH//5tk=")</f>
        <v>#REF!</v>
      </c>
      <c r="HK8" t="e">
        <f>AND(#REF!,"AAAAAH//5to=")</f>
        <v>#REF!</v>
      </c>
      <c r="HL8" t="e">
        <f>AND(#REF!,"AAAAAH//5ts=")</f>
        <v>#REF!</v>
      </c>
      <c r="HM8" t="e">
        <f>AND(#REF!,"AAAAAH//5tw=")</f>
        <v>#REF!</v>
      </c>
      <c r="HN8" t="e">
        <f>AND(#REF!,"AAAAAH//5t0=")</f>
        <v>#REF!</v>
      </c>
      <c r="HO8" t="e">
        <f>AND(#REF!,"AAAAAH//5t4=")</f>
        <v>#REF!</v>
      </c>
      <c r="HP8" t="e">
        <f>IF(#REF!,"AAAAAH//5t8=",0)</f>
        <v>#REF!</v>
      </c>
      <c r="HQ8" t="e">
        <f>AND(#REF!,"AAAAAH//5uA=")</f>
        <v>#REF!</v>
      </c>
      <c r="HR8" t="e">
        <f>AND(#REF!,"AAAAAH//5uE=")</f>
        <v>#REF!</v>
      </c>
      <c r="HS8" t="e">
        <f>AND(#REF!,"AAAAAH//5uI=")</f>
        <v>#REF!</v>
      </c>
      <c r="HT8" t="e">
        <f>AND(#REF!,"AAAAAH//5uM=")</f>
        <v>#REF!</v>
      </c>
      <c r="HU8" t="e">
        <f>AND(#REF!,"AAAAAH//5uQ=")</f>
        <v>#REF!</v>
      </c>
      <c r="HV8" t="e">
        <f>AND(#REF!,"AAAAAH//5uU=")</f>
        <v>#REF!</v>
      </c>
      <c r="HW8" t="e">
        <f>AND(#REF!,"AAAAAH//5uY=")</f>
        <v>#REF!</v>
      </c>
      <c r="HX8" t="e">
        <f>AND(#REF!,"AAAAAH//5uc=")</f>
        <v>#REF!</v>
      </c>
      <c r="HY8" t="e">
        <f>AND(#REF!,"AAAAAH//5ug=")</f>
        <v>#REF!</v>
      </c>
      <c r="HZ8" t="e">
        <f>IF(#REF!,"AAAAAH//5uk=",0)</f>
        <v>#REF!</v>
      </c>
      <c r="IA8" t="e">
        <f>AND(#REF!,"AAAAAH//5uo=")</f>
        <v>#REF!</v>
      </c>
      <c r="IB8" t="e">
        <f>AND(#REF!,"AAAAAH//5us=")</f>
        <v>#REF!</v>
      </c>
      <c r="IC8" t="e">
        <f>AND(#REF!,"AAAAAH//5uw=")</f>
        <v>#REF!</v>
      </c>
      <c r="ID8" t="e">
        <f>AND(#REF!,"AAAAAH//5u0=")</f>
        <v>#REF!</v>
      </c>
      <c r="IE8" t="e">
        <f>AND(#REF!,"AAAAAH//5u4=")</f>
        <v>#REF!</v>
      </c>
      <c r="IF8" t="e">
        <f>AND(#REF!,"AAAAAH//5u8=")</f>
        <v>#REF!</v>
      </c>
      <c r="IG8" t="e">
        <f>AND(#REF!,"AAAAAH//5vA=")</f>
        <v>#REF!</v>
      </c>
      <c r="IH8" t="e">
        <f>AND(#REF!,"AAAAAH//5vE=")</f>
        <v>#REF!</v>
      </c>
      <c r="II8" t="e">
        <f>AND(#REF!,"AAAAAH//5vI=")</f>
        <v>#REF!</v>
      </c>
      <c r="IJ8" t="e">
        <f>IF(#REF!,"AAAAAH//5vM=",0)</f>
        <v>#REF!</v>
      </c>
      <c r="IK8" t="e">
        <f>AND(#REF!,"AAAAAH//5vQ=")</f>
        <v>#REF!</v>
      </c>
      <c r="IL8" t="e">
        <f>AND(#REF!,"AAAAAH//5vU=")</f>
        <v>#REF!</v>
      </c>
      <c r="IM8" t="e">
        <f>AND(#REF!,"AAAAAH//5vY=")</f>
        <v>#REF!</v>
      </c>
      <c r="IN8" t="e">
        <f>AND(#REF!,"AAAAAH//5vc=")</f>
        <v>#REF!</v>
      </c>
      <c r="IO8" t="e">
        <f>AND(#REF!,"AAAAAH//5vg=")</f>
        <v>#REF!</v>
      </c>
      <c r="IP8" t="e">
        <f>AND(#REF!,"AAAAAH//5vk=")</f>
        <v>#REF!</v>
      </c>
      <c r="IQ8" t="e">
        <f>AND(#REF!,"AAAAAH//5vo=")</f>
        <v>#REF!</v>
      </c>
      <c r="IR8" t="e">
        <f>AND(#REF!,"AAAAAH//5vs=")</f>
        <v>#REF!</v>
      </c>
      <c r="IS8" t="e">
        <f>AND(#REF!,"AAAAAH//5vw=")</f>
        <v>#REF!</v>
      </c>
      <c r="IT8" t="e">
        <f>IF(#REF!,"AAAAAH//5v0=",0)</f>
        <v>#REF!</v>
      </c>
      <c r="IU8" t="e">
        <f>AND(#REF!,"AAAAAH//5v4=")</f>
        <v>#REF!</v>
      </c>
      <c r="IV8" t="e">
        <f>AND(#REF!,"AAAAAH//5v8=")</f>
        <v>#REF!</v>
      </c>
    </row>
    <row r="9" spans="1:256" ht="15">
      <c r="A9" t="e">
        <f>AND(#REF!,"AAAAADb3sgA=")</f>
        <v>#REF!</v>
      </c>
      <c r="B9" t="e">
        <f>AND(#REF!,"AAAAADb3sgE=")</f>
        <v>#REF!</v>
      </c>
      <c r="C9" t="e">
        <f>AND(#REF!,"AAAAADb3sgI=")</f>
        <v>#REF!</v>
      </c>
      <c r="D9" t="e">
        <f>AND(#REF!,"AAAAADb3sgM=")</f>
        <v>#REF!</v>
      </c>
      <c r="E9" t="e">
        <f>AND(#REF!,"AAAAADb3sgQ=")</f>
        <v>#REF!</v>
      </c>
      <c r="F9" t="e">
        <f>AND(#REF!,"AAAAADb3sgU=")</f>
        <v>#REF!</v>
      </c>
      <c r="G9" t="e">
        <f>AND(#REF!,"AAAAADb3sgY=")</f>
        <v>#REF!</v>
      </c>
      <c r="H9" t="e">
        <f>IF(#REF!,"AAAAADb3sgc=",0)</f>
        <v>#REF!</v>
      </c>
      <c r="I9" t="e">
        <f>AND(#REF!,"AAAAADb3sgg=")</f>
        <v>#REF!</v>
      </c>
      <c r="J9" t="e">
        <f>AND(#REF!,"AAAAADb3sgk=")</f>
        <v>#REF!</v>
      </c>
      <c r="K9" t="e">
        <f>AND(#REF!,"AAAAADb3sgo=")</f>
        <v>#REF!</v>
      </c>
      <c r="L9" t="e">
        <f>AND(#REF!,"AAAAADb3sgs=")</f>
        <v>#REF!</v>
      </c>
      <c r="M9" t="e">
        <f>AND(#REF!,"AAAAADb3sgw=")</f>
        <v>#REF!</v>
      </c>
      <c r="N9" t="e">
        <f>AND(#REF!,"AAAAADb3sg0=")</f>
        <v>#REF!</v>
      </c>
      <c r="O9" t="e">
        <f>AND(#REF!,"AAAAADb3sg4=")</f>
        <v>#REF!</v>
      </c>
      <c r="P9" t="e">
        <f>AND(#REF!,"AAAAADb3sg8=")</f>
        <v>#REF!</v>
      </c>
      <c r="Q9" t="e">
        <f>AND(#REF!,"AAAAADb3shA=")</f>
        <v>#REF!</v>
      </c>
      <c r="R9" t="e">
        <f>IF(#REF!,"AAAAADb3shE=",0)</f>
        <v>#REF!</v>
      </c>
      <c r="S9" t="e">
        <f>AND(#REF!,"AAAAADb3shI=")</f>
        <v>#REF!</v>
      </c>
      <c r="T9" t="e">
        <f>AND(#REF!,"AAAAADb3shM=")</f>
        <v>#REF!</v>
      </c>
      <c r="U9" t="e">
        <f>AND(#REF!,"AAAAADb3shQ=")</f>
        <v>#REF!</v>
      </c>
      <c r="V9" t="e">
        <f>AND(#REF!,"AAAAADb3shU=")</f>
        <v>#REF!</v>
      </c>
      <c r="W9" t="e">
        <f>AND(#REF!,"AAAAADb3shY=")</f>
        <v>#REF!</v>
      </c>
      <c r="X9" t="e">
        <f>AND(#REF!,"AAAAADb3shc=")</f>
        <v>#REF!</v>
      </c>
      <c r="Y9" t="e">
        <f>AND(#REF!,"AAAAADb3shg=")</f>
        <v>#REF!</v>
      </c>
      <c r="Z9" t="e">
        <f>AND(#REF!,"AAAAADb3shk=")</f>
        <v>#REF!</v>
      </c>
      <c r="AA9" t="e">
        <f>AND(#REF!,"AAAAADb3sho=")</f>
        <v>#REF!</v>
      </c>
      <c r="AB9" t="e">
        <f>IF(#REF!,"AAAAADb3shs=",0)</f>
        <v>#REF!</v>
      </c>
      <c r="AC9" t="e">
        <f>AND(#REF!,"AAAAADb3shw=")</f>
        <v>#REF!</v>
      </c>
      <c r="AD9" t="e">
        <f>AND(#REF!,"AAAAADb3sh0=")</f>
        <v>#REF!</v>
      </c>
      <c r="AE9" t="e">
        <f>AND(#REF!,"AAAAADb3sh4=")</f>
        <v>#REF!</v>
      </c>
      <c r="AF9" t="e">
        <f>AND(#REF!,"AAAAADb3sh8=")</f>
        <v>#REF!</v>
      </c>
      <c r="AG9" t="e">
        <f>AND(#REF!,"AAAAADb3siA=")</f>
        <v>#REF!</v>
      </c>
      <c r="AH9" t="e">
        <f>AND(#REF!,"AAAAADb3siE=")</f>
        <v>#REF!</v>
      </c>
      <c r="AI9" t="e">
        <f>AND(#REF!,"AAAAADb3siI=")</f>
        <v>#REF!</v>
      </c>
      <c r="AJ9" t="e">
        <f>AND(#REF!,"AAAAADb3siM=")</f>
        <v>#REF!</v>
      </c>
      <c r="AK9" t="e">
        <f>AND(#REF!,"AAAAADb3siQ=")</f>
        <v>#REF!</v>
      </c>
      <c r="AL9" t="e">
        <f>IF(#REF!,"AAAAADb3siU=",0)</f>
        <v>#REF!</v>
      </c>
      <c r="AM9" t="e">
        <f>AND(#REF!,"AAAAADb3siY=")</f>
        <v>#REF!</v>
      </c>
      <c r="AN9" t="e">
        <f>AND(#REF!,"AAAAADb3sic=")</f>
        <v>#REF!</v>
      </c>
      <c r="AO9" t="e">
        <f>AND(#REF!,"AAAAADb3sig=")</f>
        <v>#REF!</v>
      </c>
      <c r="AP9" t="e">
        <f>AND(#REF!,"AAAAADb3sik=")</f>
        <v>#REF!</v>
      </c>
      <c r="AQ9" t="e">
        <f>AND(#REF!,"AAAAADb3sio=")</f>
        <v>#REF!</v>
      </c>
      <c r="AR9" t="e">
        <f>AND(#REF!,"AAAAADb3sis=")</f>
        <v>#REF!</v>
      </c>
      <c r="AS9" t="e">
        <f>AND(#REF!,"AAAAADb3siw=")</f>
        <v>#REF!</v>
      </c>
      <c r="AT9" t="e">
        <f>AND(#REF!,"AAAAADb3si0=")</f>
        <v>#REF!</v>
      </c>
      <c r="AU9" t="e">
        <f>AND(#REF!,"AAAAADb3si4=")</f>
        <v>#REF!</v>
      </c>
      <c r="AV9" t="e">
        <f>IF(#REF!,"AAAAADb3si8=",0)</f>
        <v>#REF!</v>
      </c>
      <c r="AW9" t="e">
        <f>AND(#REF!,"AAAAADb3sjA=")</f>
        <v>#REF!</v>
      </c>
      <c r="AX9" t="e">
        <f>AND(#REF!,"AAAAADb3sjE=")</f>
        <v>#REF!</v>
      </c>
      <c r="AY9" t="e">
        <f>AND(#REF!,"AAAAADb3sjI=")</f>
        <v>#REF!</v>
      </c>
      <c r="AZ9" t="e">
        <f>AND(#REF!,"AAAAADb3sjM=")</f>
        <v>#REF!</v>
      </c>
      <c r="BA9" t="e">
        <f>AND(#REF!,"AAAAADb3sjQ=")</f>
        <v>#REF!</v>
      </c>
      <c r="BB9" t="e">
        <f>AND(#REF!,"AAAAADb3sjU=")</f>
        <v>#REF!</v>
      </c>
      <c r="BC9" t="e">
        <f>AND(#REF!,"AAAAADb3sjY=")</f>
        <v>#REF!</v>
      </c>
      <c r="BD9" t="e">
        <f>AND(#REF!,"AAAAADb3sjc=")</f>
        <v>#REF!</v>
      </c>
      <c r="BE9" t="e">
        <f>AND(#REF!,"AAAAADb3sjg=")</f>
        <v>#REF!</v>
      </c>
      <c r="BF9" t="e">
        <f>IF(#REF!,"AAAAADb3sjk=",0)</f>
        <v>#REF!</v>
      </c>
      <c r="BG9" t="e">
        <f>AND(#REF!,"AAAAADb3sjo=")</f>
        <v>#REF!</v>
      </c>
      <c r="BH9" t="e">
        <f>AND(#REF!,"AAAAADb3sjs=")</f>
        <v>#REF!</v>
      </c>
      <c r="BI9" t="e">
        <f>AND(#REF!,"AAAAADb3sjw=")</f>
        <v>#REF!</v>
      </c>
      <c r="BJ9" t="e">
        <f>AND(#REF!,"AAAAADb3sj0=")</f>
        <v>#REF!</v>
      </c>
      <c r="BK9" t="e">
        <f>AND(#REF!,"AAAAADb3sj4=")</f>
        <v>#REF!</v>
      </c>
      <c r="BL9" t="e">
        <f>AND(#REF!,"AAAAADb3sj8=")</f>
        <v>#REF!</v>
      </c>
      <c r="BM9" t="e">
        <f>AND(#REF!,"AAAAADb3skA=")</f>
        <v>#REF!</v>
      </c>
      <c r="BN9" t="e">
        <f>AND(#REF!,"AAAAADb3skE=")</f>
        <v>#REF!</v>
      </c>
      <c r="BO9" t="e">
        <f>AND(#REF!,"AAAAADb3skI=")</f>
        <v>#REF!</v>
      </c>
      <c r="BP9" t="e">
        <f>IF(#REF!,"AAAAADb3skM=",0)</f>
        <v>#REF!</v>
      </c>
      <c r="BQ9" t="e">
        <f>AND(#REF!,"AAAAADb3skQ=")</f>
        <v>#REF!</v>
      </c>
      <c r="BR9" t="e">
        <f>AND(#REF!,"AAAAADb3skU=")</f>
        <v>#REF!</v>
      </c>
      <c r="BS9" t="e">
        <f>AND(#REF!,"AAAAADb3skY=")</f>
        <v>#REF!</v>
      </c>
      <c r="BT9" t="e">
        <f>AND(#REF!,"AAAAADb3skc=")</f>
        <v>#REF!</v>
      </c>
      <c r="BU9" t="e">
        <f>AND(#REF!,"AAAAADb3skg=")</f>
        <v>#REF!</v>
      </c>
      <c r="BV9" t="e">
        <f>AND(#REF!,"AAAAADb3skk=")</f>
        <v>#REF!</v>
      </c>
      <c r="BW9" t="e">
        <f>AND(#REF!,"AAAAADb3sko=")</f>
        <v>#REF!</v>
      </c>
      <c r="BX9" t="e">
        <f>AND(#REF!,"AAAAADb3sks=")</f>
        <v>#REF!</v>
      </c>
      <c r="BY9" t="e">
        <f>AND(#REF!,"AAAAADb3skw=")</f>
        <v>#REF!</v>
      </c>
      <c r="BZ9" t="e">
        <f>IF(#REF!,"AAAAADb3sk0=",0)</f>
        <v>#REF!</v>
      </c>
      <c r="CA9" t="e">
        <f>AND(#REF!,"AAAAADb3sk4=")</f>
        <v>#REF!</v>
      </c>
      <c r="CB9" t="e">
        <f>AND(#REF!,"AAAAADb3sk8=")</f>
        <v>#REF!</v>
      </c>
      <c r="CC9" t="e">
        <f>AND(#REF!,"AAAAADb3slA=")</f>
        <v>#REF!</v>
      </c>
      <c r="CD9" t="e">
        <f>AND(#REF!,"AAAAADb3slE=")</f>
        <v>#REF!</v>
      </c>
      <c r="CE9" t="e">
        <f>AND(#REF!,"AAAAADb3slI=")</f>
        <v>#REF!</v>
      </c>
      <c r="CF9" t="e">
        <f>AND(#REF!,"AAAAADb3slM=")</f>
        <v>#REF!</v>
      </c>
      <c r="CG9" t="e">
        <f>AND(#REF!,"AAAAADb3slQ=")</f>
        <v>#REF!</v>
      </c>
      <c r="CH9" t="e">
        <f>AND(#REF!,"AAAAADb3slU=")</f>
        <v>#REF!</v>
      </c>
      <c r="CI9" t="e">
        <f>AND(#REF!,"AAAAADb3slY=")</f>
        <v>#REF!</v>
      </c>
      <c r="CJ9" t="e">
        <f>IF(#REF!,"AAAAADb3slc=",0)</f>
        <v>#REF!</v>
      </c>
      <c r="CK9" t="e">
        <f>AND(#REF!,"AAAAADb3slg=")</f>
        <v>#REF!</v>
      </c>
      <c r="CL9" t="e">
        <f>AND(#REF!,"AAAAADb3slk=")</f>
        <v>#REF!</v>
      </c>
      <c r="CM9" t="e">
        <f>AND(#REF!,"AAAAADb3slo=")</f>
        <v>#REF!</v>
      </c>
      <c r="CN9" t="e">
        <f>AND(#REF!,"AAAAADb3sls=")</f>
        <v>#REF!</v>
      </c>
      <c r="CO9" t="e">
        <f>AND(#REF!,"AAAAADb3slw=")</f>
        <v>#REF!</v>
      </c>
      <c r="CP9" t="e">
        <f>AND(#REF!,"AAAAADb3sl0=")</f>
        <v>#REF!</v>
      </c>
      <c r="CQ9" t="e">
        <f>AND(#REF!,"AAAAADb3sl4=")</f>
        <v>#REF!</v>
      </c>
      <c r="CR9" t="e">
        <f>AND(#REF!,"AAAAADb3sl8=")</f>
        <v>#REF!</v>
      </c>
      <c r="CS9" t="e">
        <f>AND(#REF!,"AAAAADb3smA=")</f>
        <v>#REF!</v>
      </c>
      <c r="CT9" t="e">
        <f>IF(#REF!,"AAAAADb3smE=",0)</f>
        <v>#REF!</v>
      </c>
      <c r="CU9" t="e">
        <f>AND(#REF!,"AAAAADb3smI=")</f>
        <v>#REF!</v>
      </c>
      <c r="CV9" t="e">
        <f>AND(#REF!,"AAAAADb3smM=")</f>
        <v>#REF!</v>
      </c>
      <c r="CW9" t="e">
        <f>AND(#REF!,"AAAAADb3smQ=")</f>
        <v>#REF!</v>
      </c>
      <c r="CX9" t="e">
        <f>AND(#REF!,"AAAAADb3smU=")</f>
        <v>#REF!</v>
      </c>
      <c r="CY9" t="e">
        <f>AND(#REF!,"AAAAADb3smY=")</f>
        <v>#REF!</v>
      </c>
      <c r="CZ9" t="e">
        <f>AND(#REF!,"AAAAADb3smc=")</f>
        <v>#REF!</v>
      </c>
      <c r="DA9" t="e">
        <f>AND(#REF!,"AAAAADb3smg=")</f>
        <v>#REF!</v>
      </c>
      <c r="DB9" t="e">
        <f>AND(#REF!,"AAAAADb3smk=")</f>
        <v>#REF!</v>
      </c>
      <c r="DC9" t="e">
        <f>AND(#REF!,"AAAAADb3smo=")</f>
        <v>#REF!</v>
      </c>
      <c r="DD9" t="e">
        <f>IF(#REF!,"AAAAADb3sms=",0)</f>
        <v>#REF!</v>
      </c>
      <c r="DE9" t="e">
        <f>AND(#REF!,"AAAAADb3smw=")</f>
        <v>#REF!</v>
      </c>
      <c r="DF9" t="e">
        <f>AND(#REF!,"AAAAADb3sm0=")</f>
        <v>#REF!</v>
      </c>
      <c r="DG9" t="e">
        <f>AND(#REF!,"AAAAADb3sm4=")</f>
        <v>#REF!</v>
      </c>
      <c r="DH9" t="e">
        <f>AND(#REF!,"AAAAADb3sm8=")</f>
        <v>#REF!</v>
      </c>
      <c r="DI9" t="e">
        <f>AND(#REF!,"AAAAADb3snA=")</f>
        <v>#REF!</v>
      </c>
      <c r="DJ9" t="e">
        <f>AND(#REF!,"AAAAADb3snE=")</f>
        <v>#REF!</v>
      </c>
      <c r="DK9" t="e">
        <f>AND(#REF!,"AAAAADb3snI=")</f>
        <v>#REF!</v>
      </c>
      <c r="DL9" t="e">
        <f>AND(#REF!,"AAAAADb3snM=")</f>
        <v>#REF!</v>
      </c>
      <c r="DM9" t="e">
        <f>AND(#REF!,"AAAAADb3snQ=")</f>
        <v>#REF!</v>
      </c>
      <c r="DN9" t="e">
        <f>IF(#REF!,"AAAAADb3snU=",0)</f>
        <v>#REF!</v>
      </c>
      <c r="DO9" t="e">
        <f>AND(#REF!,"AAAAADb3snY=")</f>
        <v>#REF!</v>
      </c>
      <c r="DP9" t="e">
        <f>AND(#REF!,"AAAAADb3snc=")</f>
        <v>#REF!</v>
      </c>
      <c r="DQ9" t="e">
        <f>AND(#REF!,"AAAAADb3sng=")</f>
        <v>#REF!</v>
      </c>
      <c r="DR9" t="e">
        <f>AND(#REF!,"AAAAADb3snk=")</f>
        <v>#REF!</v>
      </c>
      <c r="DS9" t="e">
        <f>AND(#REF!,"AAAAADb3sno=")</f>
        <v>#REF!</v>
      </c>
      <c r="DT9" t="e">
        <f>AND(#REF!,"AAAAADb3sns=")</f>
        <v>#REF!</v>
      </c>
      <c r="DU9" t="e">
        <f>AND(#REF!,"AAAAADb3snw=")</f>
        <v>#REF!</v>
      </c>
      <c r="DV9" t="e">
        <f>AND(#REF!,"AAAAADb3sn0=")</f>
        <v>#REF!</v>
      </c>
      <c r="DW9" t="e">
        <f>AND(#REF!,"AAAAADb3sn4=")</f>
        <v>#REF!</v>
      </c>
      <c r="DX9" t="e">
        <f>IF(#REF!,"AAAAADb3sn8=",0)</f>
        <v>#REF!</v>
      </c>
      <c r="DY9" t="e">
        <f>AND(#REF!,"AAAAADb3soA=")</f>
        <v>#REF!</v>
      </c>
      <c r="DZ9" t="e">
        <f>AND(#REF!,"AAAAADb3soE=")</f>
        <v>#REF!</v>
      </c>
      <c r="EA9" t="e">
        <f>AND(#REF!,"AAAAADb3soI=")</f>
        <v>#REF!</v>
      </c>
      <c r="EB9" t="e">
        <f>AND(#REF!,"AAAAADb3soM=")</f>
        <v>#REF!</v>
      </c>
      <c r="EC9" t="e">
        <f>AND(#REF!,"AAAAADb3soQ=")</f>
        <v>#REF!</v>
      </c>
      <c r="ED9" t="e">
        <f>AND(#REF!,"AAAAADb3soU=")</f>
        <v>#REF!</v>
      </c>
      <c r="EE9" t="e">
        <f>AND(#REF!,"AAAAADb3soY=")</f>
        <v>#REF!</v>
      </c>
      <c r="EF9" t="e">
        <f>AND(#REF!,"AAAAADb3soc=")</f>
        <v>#REF!</v>
      </c>
      <c r="EG9" t="e">
        <f>AND(#REF!,"AAAAADb3sog=")</f>
        <v>#REF!</v>
      </c>
      <c r="EH9" t="e">
        <f>IF(#REF!,"AAAAADb3sok=",0)</f>
        <v>#REF!</v>
      </c>
      <c r="EI9" t="e">
        <f>AND(#REF!,"AAAAADb3soo=")</f>
        <v>#REF!</v>
      </c>
      <c r="EJ9" t="e">
        <f>AND(#REF!,"AAAAADb3sos=")</f>
        <v>#REF!</v>
      </c>
      <c r="EK9" t="e">
        <f>AND(#REF!,"AAAAADb3sow=")</f>
        <v>#REF!</v>
      </c>
      <c r="EL9" t="e">
        <f>AND(#REF!,"AAAAADb3so0=")</f>
        <v>#REF!</v>
      </c>
      <c r="EM9" t="e">
        <f>AND(#REF!,"AAAAADb3so4=")</f>
        <v>#REF!</v>
      </c>
      <c r="EN9" t="e">
        <f>AND(#REF!,"AAAAADb3so8=")</f>
        <v>#REF!</v>
      </c>
      <c r="EO9" t="e">
        <f>AND(#REF!,"AAAAADb3spA=")</f>
        <v>#REF!</v>
      </c>
      <c r="EP9" t="e">
        <f>AND(#REF!,"AAAAADb3spE=")</f>
        <v>#REF!</v>
      </c>
      <c r="EQ9" t="e">
        <f>AND(#REF!,"AAAAADb3spI=")</f>
        <v>#REF!</v>
      </c>
      <c r="ER9" t="e">
        <f>IF(#REF!,"AAAAADb3spM=",0)</f>
        <v>#REF!</v>
      </c>
      <c r="ES9" t="e">
        <f>AND(#REF!,"AAAAADb3spQ=")</f>
        <v>#REF!</v>
      </c>
      <c r="ET9" t="e">
        <f>AND(#REF!,"AAAAADb3spU=")</f>
        <v>#REF!</v>
      </c>
      <c r="EU9" t="e">
        <f>AND(#REF!,"AAAAADb3spY=")</f>
        <v>#REF!</v>
      </c>
      <c r="EV9" t="e">
        <f>AND(#REF!,"AAAAADb3spc=")</f>
        <v>#REF!</v>
      </c>
      <c r="EW9" t="e">
        <f>AND(#REF!,"AAAAADb3spg=")</f>
        <v>#REF!</v>
      </c>
      <c r="EX9" t="e">
        <f>AND(#REF!,"AAAAADb3spk=")</f>
        <v>#REF!</v>
      </c>
      <c r="EY9" t="e">
        <f>AND(#REF!,"AAAAADb3spo=")</f>
        <v>#REF!</v>
      </c>
      <c r="EZ9" t="e">
        <f>AND(#REF!,"AAAAADb3sps=")</f>
        <v>#REF!</v>
      </c>
      <c r="FA9" t="e">
        <f>AND(#REF!,"AAAAADb3spw=")</f>
        <v>#REF!</v>
      </c>
      <c r="FB9" t="e">
        <f>IF(#REF!,"AAAAADb3sp0=",0)</f>
        <v>#REF!</v>
      </c>
      <c r="FC9" t="e">
        <f>AND(#REF!,"AAAAADb3sp4=")</f>
        <v>#REF!</v>
      </c>
      <c r="FD9" t="e">
        <f>AND(#REF!,"AAAAADb3sp8=")</f>
        <v>#REF!</v>
      </c>
      <c r="FE9" t="e">
        <f>AND(#REF!,"AAAAADb3sqA=")</f>
        <v>#REF!</v>
      </c>
      <c r="FF9" t="e">
        <f>AND(#REF!,"AAAAADb3sqE=")</f>
        <v>#REF!</v>
      </c>
      <c r="FG9" t="e">
        <f>AND(#REF!,"AAAAADb3sqI=")</f>
        <v>#REF!</v>
      </c>
      <c r="FH9" t="e">
        <f>AND(#REF!,"AAAAADb3sqM=")</f>
        <v>#REF!</v>
      </c>
      <c r="FI9" t="e">
        <f>AND(#REF!,"AAAAADb3sqQ=")</f>
        <v>#REF!</v>
      </c>
      <c r="FJ9" t="e">
        <f>AND(#REF!,"AAAAADb3sqU=")</f>
        <v>#REF!</v>
      </c>
      <c r="FK9" t="e">
        <f>AND(#REF!,"AAAAADb3sqY=")</f>
        <v>#REF!</v>
      </c>
      <c r="FL9" t="e">
        <f>IF(#REF!,"AAAAADb3sqc=",0)</f>
        <v>#REF!</v>
      </c>
      <c r="FM9" t="e">
        <f>AND(#REF!,"AAAAADb3sqg=")</f>
        <v>#REF!</v>
      </c>
      <c r="FN9" t="e">
        <f>AND(#REF!,"AAAAADb3sqk=")</f>
        <v>#REF!</v>
      </c>
      <c r="FO9" t="e">
        <f>AND(#REF!,"AAAAADb3sqo=")</f>
        <v>#REF!</v>
      </c>
      <c r="FP9" t="e">
        <f>AND(#REF!,"AAAAADb3sqs=")</f>
        <v>#REF!</v>
      </c>
      <c r="FQ9" t="e">
        <f>AND(#REF!,"AAAAADb3sqw=")</f>
        <v>#REF!</v>
      </c>
      <c r="FR9" t="e">
        <f>AND(#REF!,"AAAAADb3sq0=")</f>
        <v>#REF!</v>
      </c>
      <c r="FS9" t="e">
        <f>AND(#REF!,"AAAAADb3sq4=")</f>
        <v>#REF!</v>
      </c>
      <c r="FT9" t="e">
        <f>AND(#REF!,"AAAAADb3sq8=")</f>
        <v>#REF!</v>
      </c>
      <c r="FU9" t="e">
        <f>AND(#REF!,"AAAAADb3srA=")</f>
        <v>#REF!</v>
      </c>
      <c r="FV9" t="e">
        <f>IF(#REF!,"AAAAADb3srE=",0)</f>
        <v>#REF!</v>
      </c>
      <c r="FW9" t="e">
        <f>AND(#REF!,"AAAAADb3srI=")</f>
        <v>#REF!</v>
      </c>
      <c r="FX9" t="e">
        <f>AND(#REF!,"AAAAADb3srM=")</f>
        <v>#REF!</v>
      </c>
      <c r="FY9" t="e">
        <f>AND(#REF!,"AAAAADb3srQ=")</f>
        <v>#REF!</v>
      </c>
      <c r="FZ9" t="e">
        <f>AND(#REF!,"AAAAADb3srU=")</f>
        <v>#REF!</v>
      </c>
      <c r="GA9" t="e">
        <f>AND(#REF!,"AAAAADb3srY=")</f>
        <v>#REF!</v>
      </c>
      <c r="GB9" t="e">
        <f>AND(#REF!,"AAAAADb3src=")</f>
        <v>#REF!</v>
      </c>
      <c r="GC9" t="e">
        <f>AND(#REF!,"AAAAADb3srg=")</f>
        <v>#REF!</v>
      </c>
      <c r="GD9" t="e">
        <f>AND(#REF!,"AAAAADb3srk=")</f>
        <v>#REF!</v>
      </c>
      <c r="GE9" t="e">
        <f>AND(#REF!,"AAAAADb3sro=")</f>
        <v>#REF!</v>
      </c>
      <c r="GF9" t="e">
        <f>IF(#REF!,"AAAAADb3srs=",0)</f>
        <v>#REF!</v>
      </c>
      <c r="GG9" t="e">
        <f>AND(#REF!,"AAAAADb3srw=")</f>
        <v>#REF!</v>
      </c>
      <c r="GH9" t="e">
        <f>AND(#REF!,"AAAAADb3sr0=")</f>
        <v>#REF!</v>
      </c>
      <c r="GI9" t="e">
        <f>AND(#REF!,"AAAAADb3sr4=")</f>
        <v>#REF!</v>
      </c>
      <c r="GJ9" t="e">
        <f>AND(#REF!,"AAAAADb3sr8=")</f>
        <v>#REF!</v>
      </c>
      <c r="GK9" t="e">
        <f>AND(#REF!,"AAAAADb3ssA=")</f>
        <v>#REF!</v>
      </c>
      <c r="GL9" t="e">
        <f>AND(#REF!,"AAAAADb3ssE=")</f>
        <v>#REF!</v>
      </c>
      <c r="GM9" t="e">
        <f>AND(#REF!,"AAAAADb3ssI=")</f>
        <v>#REF!</v>
      </c>
      <c r="GN9" t="e">
        <f>AND(#REF!,"AAAAADb3ssM=")</f>
        <v>#REF!</v>
      </c>
      <c r="GO9" t="e">
        <f>AND(#REF!,"AAAAADb3ssQ=")</f>
        <v>#REF!</v>
      </c>
      <c r="GP9" t="e">
        <f>IF(#REF!,"AAAAADb3ssU=",0)</f>
        <v>#REF!</v>
      </c>
      <c r="GQ9" t="e">
        <f>AND(#REF!,"AAAAADb3ssY=")</f>
        <v>#REF!</v>
      </c>
      <c r="GR9" t="e">
        <f>AND(#REF!,"AAAAADb3ssc=")</f>
        <v>#REF!</v>
      </c>
      <c r="GS9" t="e">
        <f>AND(#REF!,"AAAAADb3ssg=")</f>
        <v>#REF!</v>
      </c>
      <c r="GT9" t="e">
        <f>AND(#REF!,"AAAAADb3ssk=")</f>
        <v>#REF!</v>
      </c>
      <c r="GU9" t="e">
        <f>AND(#REF!,"AAAAADb3sso=")</f>
        <v>#REF!</v>
      </c>
      <c r="GV9" t="e">
        <f>AND(#REF!,"AAAAADb3sss=")</f>
        <v>#REF!</v>
      </c>
      <c r="GW9" t="e">
        <f>AND(#REF!,"AAAAADb3ssw=")</f>
        <v>#REF!</v>
      </c>
      <c r="GX9" t="e">
        <f>AND(#REF!,"AAAAADb3ss0=")</f>
        <v>#REF!</v>
      </c>
      <c r="GY9" t="e">
        <f>AND(#REF!,"AAAAADb3ss4=")</f>
        <v>#REF!</v>
      </c>
      <c r="GZ9" t="e">
        <f>IF(#REF!,"AAAAADb3ss8=",0)</f>
        <v>#REF!</v>
      </c>
      <c r="HA9" t="e">
        <f>AND(#REF!,"AAAAADb3stA=")</f>
        <v>#REF!</v>
      </c>
      <c r="HB9" t="e">
        <f>AND(#REF!,"AAAAADb3stE=")</f>
        <v>#REF!</v>
      </c>
      <c r="HC9" t="e">
        <f>AND(#REF!,"AAAAADb3stI=")</f>
        <v>#REF!</v>
      </c>
      <c r="HD9" t="e">
        <f>AND(#REF!,"AAAAADb3stM=")</f>
        <v>#REF!</v>
      </c>
      <c r="HE9" t="e">
        <f>AND(#REF!,"AAAAADb3stQ=")</f>
        <v>#REF!</v>
      </c>
      <c r="HF9" t="e">
        <f>AND(#REF!,"AAAAADb3stU=")</f>
        <v>#REF!</v>
      </c>
      <c r="HG9" t="e">
        <f>AND(#REF!,"AAAAADb3stY=")</f>
        <v>#REF!</v>
      </c>
      <c r="HH9" t="e">
        <f>AND(#REF!,"AAAAADb3stc=")</f>
        <v>#REF!</v>
      </c>
      <c r="HI9" t="e">
        <f>AND(#REF!,"AAAAADb3stg=")</f>
        <v>#REF!</v>
      </c>
      <c r="HJ9" t="e">
        <f>IF(#REF!,"AAAAADb3stk=",0)</f>
        <v>#REF!</v>
      </c>
      <c r="HK9" t="e">
        <f>AND(#REF!,"AAAAADb3sto=")</f>
        <v>#REF!</v>
      </c>
      <c r="HL9" t="e">
        <f>AND(#REF!,"AAAAADb3sts=")</f>
        <v>#REF!</v>
      </c>
      <c r="HM9" t="e">
        <f>AND(#REF!,"AAAAADb3stw=")</f>
        <v>#REF!</v>
      </c>
      <c r="HN9" t="e">
        <f>AND(#REF!,"AAAAADb3st0=")</f>
        <v>#REF!</v>
      </c>
      <c r="HO9" t="e">
        <f>AND(#REF!,"AAAAADb3st4=")</f>
        <v>#REF!</v>
      </c>
      <c r="HP9" t="e">
        <f>AND(#REF!,"AAAAADb3st8=")</f>
        <v>#REF!</v>
      </c>
      <c r="HQ9" t="e">
        <f>AND(#REF!,"AAAAADb3suA=")</f>
        <v>#REF!</v>
      </c>
      <c r="HR9" t="e">
        <f>AND(#REF!,"AAAAADb3suE=")</f>
        <v>#REF!</v>
      </c>
      <c r="HS9" t="e">
        <f>AND(#REF!,"AAAAADb3suI=")</f>
        <v>#REF!</v>
      </c>
      <c r="HT9" t="e">
        <f>IF(#REF!,"AAAAADb3suM=",0)</f>
        <v>#REF!</v>
      </c>
      <c r="HU9" t="e">
        <f>AND(#REF!,"AAAAADb3suQ=")</f>
        <v>#REF!</v>
      </c>
      <c r="HV9" t="e">
        <f>AND(#REF!,"AAAAADb3suU=")</f>
        <v>#REF!</v>
      </c>
      <c r="HW9" t="e">
        <f>AND(#REF!,"AAAAADb3suY=")</f>
        <v>#REF!</v>
      </c>
      <c r="HX9" t="e">
        <f>AND(#REF!,"AAAAADb3suc=")</f>
        <v>#REF!</v>
      </c>
      <c r="HY9" t="e">
        <f>AND(#REF!,"AAAAADb3sug=")</f>
        <v>#REF!</v>
      </c>
      <c r="HZ9" t="e">
        <f>AND(#REF!,"AAAAADb3suk=")</f>
        <v>#REF!</v>
      </c>
      <c r="IA9" t="e">
        <f>AND(#REF!,"AAAAADb3suo=")</f>
        <v>#REF!</v>
      </c>
      <c r="IB9" t="e">
        <f>AND(#REF!,"AAAAADb3sus=")</f>
        <v>#REF!</v>
      </c>
      <c r="IC9" t="e">
        <f>AND(#REF!,"AAAAADb3suw=")</f>
        <v>#REF!</v>
      </c>
      <c r="ID9" t="e">
        <f>IF(#REF!,"AAAAADb3su0=",0)</f>
        <v>#REF!</v>
      </c>
      <c r="IE9" t="e">
        <f>AND(#REF!,"AAAAADb3su4=")</f>
        <v>#REF!</v>
      </c>
      <c r="IF9" t="e">
        <f>AND(#REF!,"AAAAADb3su8=")</f>
        <v>#REF!</v>
      </c>
      <c r="IG9" t="e">
        <f>AND(#REF!,"AAAAADb3svA=")</f>
        <v>#REF!</v>
      </c>
      <c r="IH9" t="e">
        <f>AND(#REF!,"AAAAADb3svE=")</f>
        <v>#REF!</v>
      </c>
      <c r="II9" t="e">
        <f>AND(#REF!,"AAAAADb3svI=")</f>
        <v>#REF!</v>
      </c>
      <c r="IJ9" t="e">
        <f>AND(#REF!,"AAAAADb3svM=")</f>
        <v>#REF!</v>
      </c>
      <c r="IK9" t="e">
        <f>AND(#REF!,"AAAAADb3svQ=")</f>
        <v>#REF!</v>
      </c>
      <c r="IL9" t="e">
        <f>AND(#REF!,"AAAAADb3svU=")</f>
        <v>#REF!</v>
      </c>
      <c r="IM9" t="e">
        <f>AND(#REF!,"AAAAADb3svY=")</f>
        <v>#REF!</v>
      </c>
      <c r="IN9" t="e">
        <f>IF(#REF!,"AAAAADb3svc=",0)</f>
        <v>#REF!</v>
      </c>
      <c r="IO9" t="e">
        <f>AND(#REF!,"AAAAADb3svg=")</f>
        <v>#REF!</v>
      </c>
      <c r="IP9" t="e">
        <f>AND(#REF!,"AAAAADb3svk=")</f>
        <v>#REF!</v>
      </c>
      <c r="IQ9" t="e">
        <f>AND(#REF!,"AAAAADb3svo=")</f>
        <v>#REF!</v>
      </c>
      <c r="IR9" t="e">
        <f>AND(#REF!,"AAAAADb3svs=")</f>
        <v>#REF!</v>
      </c>
      <c r="IS9" t="e">
        <f>AND(#REF!,"AAAAADb3svw=")</f>
        <v>#REF!</v>
      </c>
      <c r="IT9" t="e">
        <f>AND(#REF!,"AAAAADb3sv0=")</f>
        <v>#REF!</v>
      </c>
      <c r="IU9" t="e">
        <f>AND(#REF!,"AAAAADb3sv4=")</f>
        <v>#REF!</v>
      </c>
      <c r="IV9" t="e">
        <f>AND(#REF!,"AAAAADb3sv8=")</f>
        <v>#REF!</v>
      </c>
    </row>
    <row r="10" spans="1:256" ht="15">
      <c r="A10" t="e">
        <f>AND(#REF!,"AAAAAG/v/QA=")</f>
        <v>#REF!</v>
      </c>
      <c r="B10" t="e">
        <f>IF(#REF!,"AAAAAG/v/QE=",0)</f>
        <v>#REF!</v>
      </c>
      <c r="C10" t="e">
        <f>AND(#REF!,"AAAAAG/v/QI=")</f>
        <v>#REF!</v>
      </c>
      <c r="D10" t="e">
        <f>AND(#REF!,"AAAAAG/v/QM=")</f>
        <v>#REF!</v>
      </c>
      <c r="E10" t="e">
        <f>AND(#REF!,"AAAAAG/v/QQ=")</f>
        <v>#REF!</v>
      </c>
      <c r="F10" t="e">
        <f>AND(#REF!,"AAAAAG/v/QU=")</f>
        <v>#REF!</v>
      </c>
      <c r="G10" t="e">
        <f>AND(#REF!,"AAAAAG/v/QY=")</f>
        <v>#REF!</v>
      </c>
      <c r="H10" t="e">
        <f>AND(#REF!,"AAAAAG/v/Qc=")</f>
        <v>#REF!</v>
      </c>
      <c r="I10" t="e">
        <f>AND(#REF!,"AAAAAG/v/Qg=")</f>
        <v>#REF!</v>
      </c>
      <c r="J10" t="e">
        <f>AND(#REF!,"AAAAAG/v/Qk=")</f>
        <v>#REF!</v>
      </c>
      <c r="K10" t="e">
        <f>AND(#REF!,"AAAAAG/v/Qo=")</f>
        <v>#REF!</v>
      </c>
      <c r="L10" t="e">
        <f>IF(#REF!,"AAAAAG/v/Qs=",0)</f>
        <v>#REF!</v>
      </c>
      <c r="M10" t="e">
        <f>AND(#REF!,"AAAAAG/v/Qw=")</f>
        <v>#REF!</v>
      </c>
      <c r="N10" t="e">
        <f>AND(#REF!,"AAAAAG/v/Q0=")</f>
        <v>#REF!</v>
      </c>
      <c r="O10" t="e">
        <f>AND(#REF!,"AAAAAG/v/Q4=")</f>
        <v>#REF!</v>
      </c>
      <c r="P10" t="e">
        <f>AND(#REF!,"AAAAAG/v/Q8=")</f>
        <v>#REF!</v>
      </c>
      <c r="Q10" t="e">
        <f>AND(#REF!,"AAAAAG/v/RA=")</f>
        <v>#REF!</v>
      </c>
      <c r="R10" t="e">
        <f>AND(#REF!,"AAAAAG/v/RE=")</f>
        <v>#REF!</v>
      </c>
      <c r="S10" t="e">
        <f>AND(#REF!,"AAAAAG/v/RI=")</f>
        <v>#REF!</v>
      </c>
      <c r="T10" t="e">
        <f>AND(#REF!,"AAAAAG/v/RM=")</f>
        <v>#REF!</v>
      </c>
      <c r="U10" t="e">
        <f>AND(#REF!,"AAAAAG/v/RQ=")</f>
        <v>#REF!</v>
      </c>
      <c r="V10" t="e">
        <f>IF(#REF!,"AAAAAG/v/RU=",0)</f>
        <v>#REF!</v>
      </c>
      <c r="W10" t="e">
        <f>AND(#REF!,"AAAAAG/v/RY=")</f>
        <v>#REF!</v>
      </c>
      <c r="X10" t="e">
        <f>AND(#REF!,"AAAAAG/v/Rc=")</f>
        <v>#REF!</v>
      </c>
      <c r="Y10" t="e">
        <f>AND(#REF!,"AAAAAG/v/Rg=")</f>
        <v>#REF!</v>
      </c>
      <c r="Z10" t="e">
        <f>AND(#REF!,"AAAAAG/v/Rk=")</f>
        <v>#REF!</v>
      </c>
      <c r="AA10" t="e">
        <f>AND(#REF!,"AAAAAG/v/Ro=")</f>
        <v>#REF!</v>
      </c>
      <c r="AB10" t="e">
        <f>AND(#REF!,"AAAAAG/v/Rs=")</f>
        <v>#REF!</v>
      </c>
      <c r="AC10" t="e">
        <f>AND(#REF!,"AAAAAG/v/Rw=")</f>
        <v>#REF!</v>
      </c>
      <c r="AD10" t="e">
        <f>AND(#REF!,"AAAAAG/v/R0=")</f>
        <v>#REF!</v>
      </c>
      <c r="AE10" t="e">
        <f>AND(#REF!,"AAAAAG/v/R4=")</f>
        <v>#REF!</v>
      </c>
      <c r="AF10" t="e">
        <f>IF(#REF!,"AAAAAG/v/R8=",0)</f>
        <v>#REF!</v>
      </c>
      <c r="AG10" t="e">
        <f>AND(#REF!,"AAAAAG/v/SA=")</f>
        <v>#REF!</v>
      </c>
      <c r="AH10" t="e">
        <f>AND(#REF!,"AAAAAG/v/SE=")</f>
        <v>#REF!</v>
      </c>
      <c r="AI10" t="e">
        <f>AND(#REF!,"AAAAAG/v/SI=")</f>
        <v>#REF!</v>
      </c>
      <c r="AJ10" t="e">
        <f>AND(#REF!,"AAAAAG/v/SM=")</f>
        <v>#REF!</v>
      </c>
      <c r="AK10" t="e">
        <f>AND(#REF!,"AAAAAG/v/SQ=")</f>
        <v>#REF!</v>
      </c>
      <c r="AL10" t="e">
        <f>AND(#REF!,"AAAAAG/v/SU=")</f>
        <v>#REF!</v>
      </c>
      <c r="AM10" t="e">
        <f>AND(#REF!,"AAAAAG/v/SY=")</f>
        <v>#REF!</v>
      </c>
      <c r="AN10" t="e">
        <f>AND(#REF!,"AAAAAG/v/Sc=")</f>
        <v>#REF!</v>
      </c>
      <c r="AO10" t="e">
        <f>AND(#REF!,"AAAAAG/v/Sg=")</f>
        <v>#REF!</v>
      </c>
      <c r="AP10" t="e">
        <f>IF(#REF!,"AAAAAG/v/Sk=",0)</f>
        <v>#REF!</v>
      </c>
      <c r="AQ10" t="e">
        <f>AND(#REF!,"AAAAAG/v/So=")</f>
        <v>#REF!</v>
      </c>
      <c r="AR10" t="e">
        <f>AND(#REF!,"AAAAAG/v/Ss=")</f>
        <v>#REF!</v>
      </c>
      <c r="AS10" t="e">
        <f>AND(#REF!,"AAAAAG/v/Sw=")</f>
        <v>#REF!</v>
      </c>
      <c r="AT10" t="e">
        <f>AND(#REF!,"AAAAAG/v/S0=")</f>
        <v>#REF!</v>
      </c>
      <c r="AU10" t="e">
        <f>AND(#REF!,"AAAAAG/v/S4=")</f>
        <v>#REF!</v>
      </c>
      <c r="AV10" t="e">
        <f>AND(#REF!,"AAAAAG/v/S8=")</f>
        <v>#REF!</v>
      </c>
      <c r="AW10" t="e">
        <f>AND(#REF!,"AAAAAG/v/TA=")</f>
        <v>#REF!</v>
      </c>
      <c r="AX10" t="e">
        <f>AND(#REF!,"AAAAAG/v/TE=")</f>
        <v>#REF!</v>
      </c>
      <c r="AY10" t="e">
        <f>AND(#REF!,"AAAAAG/v/TI=")</f>
        <v>#REF!</v>
      </c>
      <c r="AZ10" t="e">
        <f>IF(#REF!,"AAAAAG/v/TM=",0)</f>
        <v>#REF!</v>
      </c>
      <c r="BA10" t="e">
        <f>AND(#REF!,"AAAAAG/v/TQ=")</f>
        <v>#REF!</v>
      </c>
      <c r="BB10" t="e">
        <f>AND(#REF!,"AAAAAG/v/TU=")</f>
        <v>#REF!</v>
      </c>
      <c r="BC10" t="e">
        <f>AND(#REF!,"AAAAAG/v/TY=")</f>
        <v>#REF!</v>
      </c>
      <c r="BD10" t="e">
        <f>AND(#REF!,"AAAAAG/v/Tc=")</f>
        <v>#REF!</v>
      </c>
      <c r="BE10" t="e">
        <f>AND(#REF!,"AAAAAG/v/Tg=")</f>
        <v>#REF!</v>
      </c>
      <c r="BF10" t="e">
        <f>AND(#REF!,"AAAAAG/v/Tk=")</f>
        <v>#REF!</v>
      </c>
      <c r="BG10" t="e">
        <f>AND(#REF!,"AAAAAG/v/To=")</f>
        <v>#REF!</v>
      </c>
      <c r="BH10" t="e">
        <f>AND(#REF!,"AAAAAG/v/Ts=")</f>
        <v>#REF!</v>
      </c>
      <c r="BI10" t="e">
        <f>AND(#REF!,"AAAAAG/v/Tw=")</f>
        <v>#REF!</v>
      </c>
      <c r="BJ10" t="e">
        <f>IF(#REF!,"AAAAAG/v/T0=",0)</f>
        <v>#REF!</v>
      </c>
      <c r="BK10" t="e">
        <f>AND(#REF!,"AAAAAG/v/T4=")</f>
        <v>#REF!</v>
      </c>
      <c r="BL10" t="e">
        <f>AND(#REF!,"AAAAAG/v/T8=")</f>
        <v>#REF!</v>
      </c>
      <c r="BM10" t="e">
        <f>AND(#REF!,"AAAAAG/v/UA=")</f>
        <v>#REF!</v>
      </c>
      <c r="BN10" t="e">
        <f>AND(#REF!,"AAAAAG/v/UE=")</f>
        <v>#REF!</v>
      </c>
      <c r="BO10" t="e">
        <f>AND(#REF!,"AAAAAG/v/UI=")</f>
        <v>#REF!</v>
      </c>
      <c r="BP10" t="e">
        <f>AND(#REF!,"AAAAAG/v/UM=")</f>
        <v>#REF!</v>
      </c>
      <c r="BQ10" t="e">
        <f>AND(#REF!,"AAAAAG/v/UQ=")</f>
        <v>#REF!</v>
      </c>
      <c r="BR10" t="e">
        <f>AND(#REF!,"AAAAAG/v/UU=")</f>
        <v>#REF!</v>
      </c>
      <c r="BS10" t="e">
        <f>AND(#REF!,"AAAAAG/v/UY=")</f>
        <v>#REF!</v>
      </c>
      <c r="BT10" t="e">
        <f>IF(#REF!,"AAAAAG/v/Uc=",0)</f>
        <v>#REF!</v>
      </c>
      <c r="BU10" t="e">
        <f>AND(#REF!,"AAAAAG/v/Ug=")</f>
        <v>#REF!</v>
      </c>
      <c r="BV10" t="e">
        <f>AND(#REF!,"AAAAAG/v/Uk=")</f>
        <v>#REF!</v>
      </c>
      <c r="BW10" t="e">
        <f>AND(#REF!,"AAAAAG/v/Uo=")</f>
        <v>#REF!</v>
      </c>
      <c r="BX10" t="e">
        <f>AND(#REF!,"AAAAAG/v/Us=")</f>
        <v>#REF!</v>
      </c>
      <c r="BY10" t="e">
        <f>AND(#REF!,"AAAAAG/v/Uw=")</f>
        <v>#REF!</v>
      </c>
      <c r="BZ10" t="e">
        <f>AND(#REF!,"AAAAAG/v/U0=")</f>
        <v>#REF!</v>
      </c>
      <c r="CA10" t="e">
        <f>AND(#REF!,"AAAAAG/v/U4=")</f>
        <v>#REF!</v>
      </c>
      <c r="CB10" t="e">
        <f>AND(#REF!,"AAAAAG/v/U8=")</f>
        <v>#REF!</v>
      </c>
      <c r="CC10" t="e">
        <f>AND(#REF!,"AAAAAG/v/VA=")</f>
        <v>#REF!</v>
      </c>
      <c r="CD10" t="e">
        <f>IF(#REF!,"AAAAAG/v/VE=",0)</f>
        <v>#REF!</v>
      </c>
      <c r="CE10" t="e">
        <f>AND(#REF!,"AAAAAG/v/VI=")</f>
        <v>#REF!</v>
      </c>
      <c r="CF10" t="e">
        <f>AND(#REF!,"AAAAAG/v/VM=")</f>
        <v>#REF!</v>
      </c>
      <c r="CG10" t="e">
        <f>AND(#REF!,"AAAAAG/v/VQ=")</f>
        <v>#REF!</v>
      </c>
      <c r="CH10" t="e">
        <f>AND(#REF!,"AAAAAG/v/VU=")</f>
        <v>#REF!</v>
      </c>
      <c r="CI10" t="e">
        <f>AND(#REF!,"AAAAAG/v/VY=")</f>
        <v>#REF!</v>
      </c>
      <c r="CJ10" t="e">
        <f>AND(#REF!,"AAAAAG/v/Vc=")</f>
        <v>#REF!</v>
      </c>
      <c r="CK10" t="e">
        <f>AND(#REF!,"AAAAAG/v/Vg=")</f>
        <v>#REF!</v>
      </c>
      <c r="CL10" t="e">
        <f>AND(#REF!,"AAAAAG/v/Vk=")</f>
        <v>#REF!</v>
      </c>
      <c r="CM10" t="e">
        <f>AND(#REF!,"AAAAAG/v/Vo=")</f>
        <v>#REF!</v>
      </c>
      <c r="CN10" t="e">
        <f>IF(#REF!,"AAAAAG/v/Vs=",0)</f>
        <v>#REF!</v>
      </c>
      <c r="CO10" t="e">
        <f>AND(#REF!,"AAAAAG/v/Vw=")</f>
        <v>#REF!</v>
      </c>
      <c r="CP10" t="e">
        <f>AND(#REF!,"AAAAAG/v/V0=")</f>
        <v>#REF!</v>
      </c>
      <c r="CQ10" t="e">
        <f>AND(#REF!,"AAAAAG/v/V4=")</f>
        <v>#REF!</v>
      </c>
      <c r="CR10" t="e">
        <f>AND(#REF!,"AAAAAG/v/V8=")</f>
        <v>#REF!</v>
      </c>
      <c r="CS10" t="e">
        <f>AND(#REF!,"AAAAAG/v/WA=")</f>
        <v>#REF!</v>
      </c>
      <c r="CT10" t="e">
        <f>AND(#REF!,"AAAAAG/v/WE=")</f>
        <v>#REF!</v>
      </c>
      <c r="CU10" t="e">
        <f>AND(#REF!,"AAAAAG/v/WI=")</f>
        <v>#REF!</v>
      </c>
      <c r="CV10" t="e">
        <f>AND(#REF!,"AAAAAG/v/WM=")</f>
        <v>#REF!</v>
      </c>
      <c r="CW10" t="e">
        <f>AND(#REF!,"AAAAAG/v/WQ=")</f>
        <v>#REF!</v>
      </c>
      <c r="CX10" t="e">
        <f>IF(#REF!,"AAAAAG/v/WU=",0)</f>
        <v>#REF!</v>
      </c>
      <c r="CY10" t="e">
        <f>AND(#REF!,"AAAAAG/v/WY=")</f>
        <v>#REF!</v>
      </c>
      <c r="CZ10" t="e">
        <f>AND(#REF!,"AAAAAG/v/Wc=")</f>
        <v>#REF!</v>
      </c>
      <c r="DA10" t="e">
        <f>AND(#REF!,"AAAAAG/v/Wg=")</f>
        <v>#REF!</v>
      </c>
      <c r="DB10" t="e">
        <f>AND(#REF!,"AAAAAG/v/Wk=")</f>
        <v>#REF!</v>
      </c>
      <c r="DC10" t="e">
        <f>AND(#REF!,"AAAAAG/v/Wo=")</f>
        <v>#REF!</v>
      </c>
      <c r="DD10" t="e">
        <f>AND(#REF!,"AAAAAG/v/Ws=")</f>
        <v>#REF!</v>
      </c>
      <c r="DE10" t="e">
        <f>AND(#REF!,"AAAAAG/v/Ww=")</f>
        <v>#REF!</v>
      </c>
      <c r="DF10" t="e">
        <f>AND(#REF!,"AAAAAG/v/W0=")</f>
        <v>#REF!</v>
      </c>
      <c r="DG10" t="e">
        <f>AND(#REF!,"AAAAAG/v/W4=")</f>
        <v>#REF!</v>
      </c>
      <c r="DH10" t="e">
        <f>IF(#REF!,"AAAAAG/v/W8=",0)</f>
        <v>#REF!</v>
      </c>
      <c r="DI10" t="e">
        <f>AND(#REF!,"AAAAAG/v/XA=")</f>
        <v>#REF!</v>
      </c>
      <c r="DJ10" t="e">
        <f>AND(#REF!,"AAAAAG/v/XE=")</f>
        <v>#REF!</v>
      </c>
      <c r="DK10" t="e">
        <f>AND(#REF!,"AAAAAG/v/XI=")</f>
        <v>#REF!</v>
      </c>
      <c r="DL10" t="e">
        <f>AND(#REF!,"AAAAAG/v/XM=")</f>
        <v>#REF!</v>
      </c>
      <c r="DM10" t="e">
        <f>AND(#REF!,"AAAAAG/v/XQ=")</f>
        <v>#REF!</v>
      </c>
      <c r="DN10" t="e">
        <f>AND(#REF!,"AAAAAG/v/XU=")</f>
        <v>#REF!</v>
      </c>
      <c r="DO10" t="e">
        <f>AND(#REF!,"AAAAAG/v/XY=")</f>
        <v>#REF!</v>
      </c>
      <c r="DP10" t="e">
        <f>AND(#REF!,"AAAAAG/v/Xc=")</f>
        <v>#REF!</v>
      </c>
      <c r="DQ10" t="e">
        <f>AND(#REF!,"AAAAAG/v/Xg=")</f>
        <v>#REF!</v>
      </c>
      <c r="DR10" t="e">
        <f>IF(#REF!,"AAAAAG/v/Xk=",0)</f>
        <v>#REF!</v>
      </c>
      <c r="DS10" t="e">
        <f>AND(#REF!,"AAAAAG/v/Xo=")</f>
        <v>#REF!</v>
      </c>
      <c r="DT10" t="e">
        <f>AND(#REF!,"AAAAAG/v/Xs=")</f>
        <v>#REF!</v>
      </c>
      <c r="DU10" t="e">
        <f>AND(#REF!,"AAAAAG/v/Xw=")</f>
        <v>#REF!</v>
      </c>
      <c r="DV10" t="e">
        <f>AND(#REF!,"AAAAAG/v/X0=")</f>
        <v>#REF!</v>
      </c>
      <c r="DW10" t="e">
        <f>AND(#REF!,"AAAAAG/v/X4=")</f>
        <v>#REF!</v>
      </c>
      <c r="DX10" t="e">
        <f>AND(#REF!,"AAAAAG/v/X8=")</f>
        <v>#REF!</v>
      </c>
      <c r="DY10" t="e">
        <f>AND(#REF!,"AAAAAG/v/YA=")</f>
        <v>#REF!</v>
      </c>
      <c r="DZ10" t="e">
        <f>AND(#REF!,"AAAAAG/v/YE=")</f>
        <v>#REF!</v>
      </c>
      <c r="EA10" t="e">
        <f>AND(#REF!,"AAAAAG/v/YI=")</f>
        <v>#REF!</v>
      </c>
      <c r="EB10" t="e">
        <f>IF(#REF!,"AAAAAG/v/YM=",0)</f>
        <v>#REF!</v>
      </c>
      <c r="EC10" t="e">
        <f>AND(#REF!,"AAAAAG/v/YQ=")</f>
        <v>#REF!</v>
      </c>
      <c r="ED10" t="e">
        <f>AND(#REF!,"AAAAAG/v/YU=")</f>
        <v>#REF!</v>
      </c>
      <c r="EE10" t="e">
        <f>AND(#REF!,"AAAAAG/v/YY=")</f>
        <v>#REF!</v>
      </c>
      <c r="EF10" t="e">
        <f>AND(#REF!,"AAAAAG/v/Yc=")</f>
        <v>#REF!</v>
      </c>
      <c r="EG10" t="e">
        <f>AND(#REF!,"AAAAAG/v/Yg=")</f>
        <v>#REF!</v>
      </c>
      <c r="EH10" t="e">
        <f>AND(#REF!,"AAAAAG/v/Yk=")</f>
        <v>#REF!</v>
      </c>
      <c r="EI10" t="e">
        <f>AND(#REF!,"AAAAAG/v/Yo=")</f>
        <v>#REF!</v>
      </c>
      <c r="EJ10" t="e">
        <f>AND(#REF!,"AAAAAG/v/Ys=")</f>
        <v>#REF!</v>
      </c>
      <c r="EK10" t="e">
        <f>AND(#REF!,"AAAAAG/v/Yw=")</f>
        <v>#REF!</v>
      </c>
      <c r="EL10" t="e">
        <f>IF(#REF!,"AAAAAG/v/Y0=",0)</f>
        <v>#REF!</v>
      </c>
      <c r="EM10" t="e">
        <f>AND(#REF!,"AAAAAG/v/Y4=")</f>
        <v>#REF!</v>
      </c>
      <c r="EN10" t="e">
        <f>AND(#REF!,"AAAAAG/v/Y8=")</f>
        <v>#REF!</v>
      </c>
      <c r="EO10" t="e">
        <f>AND(#REF!,"AAAAAG/v/ZA=")</f>
        <v>#REF!</v>
      </c>
      <c r="EP10" t="e">
        <f>AND(#REF!,"AAAAAG/v/ZE=")</f>
        <v>#REF!</v>
      </c>
      <c r="EQ10" t="e">
        <f>AND(#REF!,"AAAAAG/v/ZI=")</f>
        <v>#REF!</v>
      </c>
      <c r="ER10" t="e">
        <f>AND(#REF!,"AAAAAG/v/ZM=")</f>
        <v>#REF!</v>
      </c>
      <c r="ES10" t="e">
        <f>AND(#REF!,"AAAAAG/v/ZQ=")</f>
        <v>#REF!</v>
      </c>
      <c r="ET10" t="e">
        <f>AND(#REF!,"AAAAAG/v/ZU=")</f>
        <v>#REF!</v>
      </c>
      <c r="EU10" t="e">
        <f>AND(#REF!,"AAAAAG/v/ZY=")</f>
        <v>#REF!</v>
      </c>
      <c r="EV10" t="e">
        <f>IF(#REF!,"AAAAAG/v/Zc=",0)</f>
        <v>#REF!</v>
      </c>
      <c r="EW10" t="e">
        <f>AND(#REF!,"AAAAAG/v/Zg=")</f>
        <v>#REF!</v>
      </c>
      <c r="EX10" t="e">
        <f>AND(#REF!,"AAAAAG/v/Zk=")</f>
        <v>#REF!</v>
      </c>
      <c r="EY10" t="e">
        <f>AND(#REF!,"AAAAAG/v/Zo=")</f>
        <v>#REF!</v>
      </c>
      <c r="EZ10" t="e">
        <f>AND(#REF!,"AAAAAG/v/Zs=")</f>
        <v>#REF!</v>
      </c>
      <c r="FA10" t="e">
        <f>AND(#REF!,"AAAAAG/v/Zw=")</f>
        <v>#REF!</v>
      </c>
      <c r="FB10" t="e">
        <f>AND(#REF!,"AAAAAG/v/Z0=")</f>
        <v>#REF!</v>
      </c>
      <c r="FC10" t="e">
        <f>AND(#REF!,"AAAAAG/v/Z4=")</f>
        <v>#REF!</v>
      </c>
      <c r="FD10" t="e">
        <f>AND(#REF!,"AAAAAG/v/Z8=")</f>
        <v>#REF!</v>
      </c>
      <c r="FE10" t="e">
        <f>AND(#REF!,"AAAAAG/v/aA=")</f>
        <v>#REF!</v>
      </c>
      <c r="FF10" t="e">
        <f>IF(#REF!,"AAAAAG/v/aE=",0)</f>
        <v>#REF!</v>
      </c>
      <c r="FG10" t="e">
        <f>AND(#REF!,"AAAAAG/v/aI=")</f>
        <v>#REF!</v>
      </c>
      <c r="FH10" t="e">
        <f>AND(#REF!,"AAAAAG/v/aM=")</f>
        <v>#REF!</v>
      </c>
      <c r="FI10" t="e">
        <f>AND(#REF!,"AAAAAG/v/aQ=")</f>
        <v>#REF!</v>
      </c>
      <c r="FJ10" t="e">
        <f>AND(#REF!,"AAAAAG/v/aU=")</f>
        <v>#REF!</v>
      </c>
      <c r="FK10" t="e">
        <f>AND(#REF!,"AAAAAG/v/aY=")</f>
        <v>#REF!</v>
      </c>
      <c r="FL10" t="e">
        <f>AND(#REF!,"AAAAAG/v/ac=")</f>
        <v>#REF!</v>
      </c>
      <c r="FM10" t="e">
        <f>AND(#REF!,"AAAAAG/v/ag=")</f>
        <v>#REF!</v>
      </c>
      <c r="FN10" t="e">
        <f>AND(#REF!,"AAAAAG/v/ak=")</f>
        <v>#REF!</v>
      </c>
      <c r="FO10" t="e">
        <f>AND(#REF!,"AAAAAG/v/ao=")</f>
        <v>#REF!</v>
      </c>
      <c r="FP10" t="e">
        <f>IF(#REF!,"AAAAAG/v/as=",0)</f>
        <v>#REF!</v>
      </c>
      <c r="FQ10" t="e">
        <f>AND(#REF!,"AAAAAG/v/aw=")</f>
        <v>#REF!</v>
      </c>
      <c r="FR10" t="e">
        <f>AND(#REF!,"AAAAAG/v/a0=")</f>
        <v>#REF!</v>
      </c>
      <c r="FS10" t="e">
        <f>AND(#REF!,"AAAAAG/v/a4=")</f>
        <v>#REF!</v>
      </c>
      <c r="FT10" t="e">
        <f>AND(#REF!,"AAAAAG/v/a8=")</f>
        <v>#REF!</v>
      </c>
      <c r="FU10" t="e">
        <f>AND(#REF!,"AAAAAG/v/bA=")</f>
        <v>#REF!</v>
      </c>
      <c r="FV10" t="e">
        <f>AND(#REF!,"AAAAAG/v/bE=")</f>
        <v>#REF!</v>
      </c>
      <c r="FW10" t="e">
        <f>AND(#REF!,"AAAAAG/v/bI=")</f>
        <v>#REF!</v>
      </c>
      <c r="FX10" t="e">
        <f>AND(#REF!,"AAAAAG/v/bM=")</f>
        <v>#REF!</v>
      </c>
      <c r="FY10" t="e">
        <f>AND(#REF!,"AAAAAG/v/bQ=")</f>
        <v>#REF!</v>
      </c>
      <c r="FZ10" t="e">
        <f>IF(#REF!,"AAAAAG/v/bU=",0)</f>
        <v>#REF!</v>
      </c>
      <c r="GA10" t="e">
        <f>AND(#REF!,"AAAAAG/v/bY=")</f>
        <v>#REF!</v>
      </c>
      <c r="GB10" t="e">
        <f>AND(#REF!,"AAAAAG/v/bc=")</f>
        <v>#REF!</v>
      </c>
      <c r="GC10" t="e">
        <f>AND(#REF!,"AAAAAG/v/bg=")</f>
        <v>#REF!</v>
      </c>
      <c r="GD10" t="e">
        <f>AND(#REF!,"AAAAAG/v/bk=")</f>
        <v>#REF!</v>
      </c>
      <c r="GE10" t="e">
        <f>AND(#REF!,"AAAAAG/v/bo=")</f>
        <v>#REF!</v>
      </c>
      <c r="GF10" t="e">
        <f>AND(#REF!,"AAAAAG/v/bs=")</f>
        <v>#REF!</v>
      </c>
      <c r="GG10" t="e">
        <f>AND(#REF!,"AAAAAG/v/bw=")</f>
        <v>#REF!</v>
      </c>
      <c r="GH10" t="e">
        <f>AND(#REF!,"AAAAAG/v/b0=")</f>
        <v>#REF!</v>
      </c>
      <c r="GI10" t="e">
        <f>AND(#REF!,"AAAAAG/v/b4=")</f>
        <v>#REF!</v>
      </c>
      <c r="GJ10" t="e">
        <f>IF(#REF!,"AAAAAG/v/b8=",0)</f>
        <v>#REF!</v>
      </c>
      <c r="GK10" t="e">
        <f>AND(#REF!,"AAAAAG/v/cA=")</f>
        <v>#REF!</v>
      </c>
      <c r="GL10" t="e">
        <f>AND(#REF!,"AAAAAG/v/cE=")</f>
        <v>#REF!</v>
      </c>
      <c r="GM10" t="e">
        <f>AND(#REF!,"AAAAAG/v/cI=")</f>
        <v>#REF!</v>
      </c>
      <c r="GN10" t="e">
        <f>AND(#REF!,"AAAAAG/v/cM=")</f>
        <v>#REF!</v>
      </c>
      <c r="GO10" t="e">
        <f>AND(#REF!,"AAAAAG/v/cQ=")</f>
        <v>#REF!</v>
      </c>
      <c r="GP10" t="e">
        <f>AND(#REF!,"AAAAAG/v/cU=")</f>
        <v>#REF!</v>
      </c>
      <c r="GQ10" t="e">
        <f>AND(#REF!,"AAAAAG/v/cY=")</f>
        <v>#REF!</v>
      </c>
      <c r="GR10" t="e">
        <f>AND(#REF!,"AAAAAG/v/cc=")</f>
        <v>#REF!</v>
      </c>
      <c r="GS10" t="e">
        <f>AND(#REF!,"AAAAAG/v/cg=")</f>
        <v>#REF!</v>
      </c>
      <c r="GT10" t="e">
        <f>IF(#REF!,"AAAAAG/v/ck=",0)</f>
        <v>#REF!</v>
      </c>
      <c r="GU10" t="e">
        <f>AND(#REF!,"AAAAAG/v/co=")</f>
        <v>#REF!</v>
      </c>
      <c r="GV10" t="e">
        <f>AND(#REF!,"AAAAAG/v/cs=")</f>
        <v>#REF!</v>
      </c>
      <c r="GW10" t="e">
        <f>AND(#REF!,"AAAAAG/v/cw=")</f>
        <v>#REF!</v>
      </c>
      <c r="GX10" t="e">
        <f>AND(#REF!,"AAAAAG/v/c0=")</f>
        <v>#REF!</v>
      </c>
      <c r="GY10" t="e">
        <f>AND(#REF!,"AAAAAG/v/c4=")</f>
        <v>#REF!</v>
      </c>
      <c r="GZ10" t="e">
        <f>AND(#REF!,"AAAAAG/v/c8=")</f>
        <v>#REF!</v>
      </c>
      <c r="HA10" t="e">
        <f>AND(#REF!,"AAAAAG/v/dA=")</f>
        <v>#REF!</v>
      </c>
      <c r="HB10" t="e">
        <f>AND(#REF!,"AAAAAG/v/dE=")</f>
        <v>#REF!</v>
      </c>
      <c r="HC10" t="e">
        <f>AND(#REF!,"AAAAAG/v/dI=")</f>
        <v>#REF!</v>
      </c>
      <c r="HD10" t="e">
        <f>IF(#REF!,"AAAAAG/v/dM=",0)</f>
        <v>#REF!</v>
      </c>
      <c r="HE10" t="e">
        <f>AND(#REF!,"AAAAAG/v/dQ=")</f>
        <v>#REF!</v>
      </c>
      <c r="HF10" t="e">
        <f>AND(#REF!,"AAAAAG/v/dU=")</f>
        <v>#REF!</v>
      </c>
      <c r="HG10" t="e">
        <f>AND(#REF!,"AAAAAG/v/dY=")</f>
        <v>#REF!</v>
      </c>
      <c r="HH10" t="e">
        <f>AND(#REF!,"AAAAAG/v/dc=")</f>
        <v>#REF!</v>
      </c>
      <c r="HI10" t="e">
        <f>AND(#REF!,"AAAAAG/v/dg=")</f>
        <v>#REF!</v>
      </c>
      <c r="HJ10" t="e">
        <f>AND(#REF!,"AAAAAG/v/dk=")</f>
        <v>#REF!</v>
      </c>
      <c r="HK10" t="e">
        <f>AND(#REF!,"AAAAAG/v/do=")</f>
        <v>#REF!</v>
      </c>
      <c r="HL10" t="e">
        <f>AND(#REF!,"AAAAAG/v/ds=")</f>
        <v>#REF!</v>
      </c>
      <c r="HM10" t="e">
        <f>AND(#REF!,"AAAAAG/v/dw=")</f>
        <v>#REF!</v>
      </c>
      <c r="HN10" t="e">
        <f>IF(#REF!,"AAAAAG/v/d0=",0)</f>
        <v>#REF!</v>
      </c>
      <c r="HO10" t="e">
        <f>AND(#REF!,"AAAAAG/v/d4=")</f>
        <v>#REF!</v>
      </c>
      <c r="HP10" t="e">
        <f>AND(#REF!,"AAAAAG/v/d8=")</f>
        <v>#REF!</v>
      </c>
      <c r="HQ10" t="e">
        <f>AND(#REF!,"AAAAAG/v/eA=")</f>
        <v>#REF!</v>
      </c>
      <c r="HR10" t="e">
        <f>AND(#REF!,"AAAAAG/v/eE=")</f>
        <v>#REF!</v>
      </c>
      <c r="HS10" t="e">
        <f>AND(#REF!,"AAAAAG/v/eI=")</f>
        <v>#REF!</v>
      </c>
      <c r="HT10" t="e">
        <f>AND(#REF!,"AAAAAG/v/eM=")</f>
        <v>#REF!</v>
      </c>
      <c r="HU10" t="e">
        <f>AND(#REF!,"AAAAAG/v/eQ=")</f>
        <v>#REF!</v>
      </c>
      <c r="HV10" t="e">
        <f>AND(#REF!,"AAAAAG/v/eU=")</f>
        <v>#REF!</v>
      </c>
      <c r="HW10" t="e">
        <f>AND(#REF!,"AAAAAG/v/eY=")</f>
        <v>#REF!</v>
      </c>
      <c r="HX10" t="e">
        <f>IF(#REF!,"AAAAAG/v/ec=",0)</f>
        <v>#REF!</v>
      </c>
      <c r="HY10" t="e">
        <f>AND(#REF!,"AAAAAG/v/eg=")</f>
        <v>#REF!</v>
      </c>
      <c r="HZ10" t="e">
        <f>AND(#REF!,"AAAAAG/v/ek=")</f>
        <v>#REF!</v>
      </c>
      <c r="IA10" t="e">
        <f>AND(#REF!,"AAAAAG/v/eo=")</f>
        <v>#REF!</v>
      </c>
      <c r="IB10" t="e">
        <f>AND(#REF!,"AAAAAG/v/es=")</f>
        <v>#REF!</v>
      </c>
      <c r="IC10" t="e">
        <f>AND(#REF!,"AAAAAG/v/ew=")</f>
        <v>#REF!</v>
      </c>
      <c r="ID10" t="e">
        <f>AND(#REF!,"AAAAAG/v/e0=")</f>
        <v>#REF!</v>
      </c>
      <c r="IE10" t="e">
        <f>AND(#REF!,"AAAAAG/v/e4=")</f>
        <v>#REF!</v>
      </c>
      <c r="IF10" t="e">
        <f>AND(#REF!,"AAAAAG/v/e8=")</f>
        <v>#REF!</v>
      </c>
      <c r="IG10" t="e">
        <f>AND(#REF!,"AAAAAG/v/fA=")</f>
        <v>#REF!</v>
      </c>
      <c r="IH10" t="e">
        <f>IF(#REF!,"AAAAAG/v/fE=",0)</f>
        <v>#REF!</v>
      </c>
      <c r="II10" t="e">
        <f>AND(#REF!,"AAAAAG/v/fI=")</f>
        <v>#REF!</v>
      </c>
      <c r="IJ10" t="e">
        <f>AND(#REF!,"AAAAAG/v/fM=")</f>
        <v>#REF!</v>
      </c>
      <c r="IK10" t="e">
        <f>AND(#REF!,"AAAAAG/v/fQ=")</f>
        <v>#REF!</v>
      </c>
      <c r="IL10" t="e">
        <f>AND(#REF!,"AAAAAG/v/fU=")</f>
        <v>#REF!</v>
      </c>
      <c r="IM10" t="e">
        <f>AND(#REF!,"AAAAAG/v/fY=")</f>
        <v>#REF!</v>
      </c>
      <c r="IN10" t="e">
        <f>AND(#REF!,"AAAAAG/v/fc=")</f>
        <v>#REF!</v>
      </c>
      <c r="IO10" t="e">
        <f>AND(#REF!,"AAAAAG/v/fg=")</f>
        <v>#REF!</v>
      </c>
      <c r="IP10" t="e">
        <f>AND(#REF!,"AAAAAG/v/fk=")</f>
        <v>#REF!</v>
      </c>
      <c r="IQ10" t="e">
        <f>AND(#REF!,"AAAAAG/v/fo=")</f>
        <v>#REF!</v>
      </c>
      <c r="IR10" t="e">
        <f>IF(#REF!,"AAAAAG/v/fs=",0)</f>
        <v>#REF!</v>
      </c>
      <c r="IS10" t="e">
        <f>AND(#REF!,"AAAAAG/v/fw=")</f>
        <v>#REF!</v>
      </c>
      <c r="IT10" t="e">
        <f>AND(#REF!,"AAAAAG/v/f0=")</f>
        <v>#REF!</v>
      </c>
      <c r="IU10" t="e">
        <f>AND(#REF!,"AAAAAG/v/f4=")</f>
        <v>#REF!</v>
      </c>
      <c r="IV10" t="e">
        <f>AND(#REF!,"AAAAAG/v/f8=")</f>
        <v>#REF!</v>
      </c>
    </row>
    <row r="11" spans="1:256" ht="15">
      <c r="A11" t="e">
        <f>AND(#REF!,"AAAAAFr//wA=")</f>
        <v>#REF!</v>
      </c>
      <c r="B11" t="e">
        <f>AND(#REF!,"AAAAAFr//wE=")</f>
        <v>#REF!</v>
      </c>
      <c r="C11" t="e">
        <f>AND(#REF!,"AAAAAFr//wI=")</f>
        <v>#REF!</v>
      </c>
      <c r="D11" t="e">
        <f>AND(#REF!,"AAAAAFr//wM=")</f>
        <v>#REF!</v>
      </c>
      <c r="E11" t="e">
        <f>AND(#REF!,"AAAAAFr//wQ=")</f>
        <v>#REF!</v>
      </c>
      <c r="F11" t="e">
        <f>IF(#REF!,"AAAAAFr//wU=",0)</f>
        <v>#REF!</v>
      </c>
      <c r="G11" t="e">
        <f>AND(#REF!,"AAAAAFr//wY=")</f>
        <v>#REF!</v>
      </c>
      <c r="H11" t="e">
        <f>AND(#REF!,"AAAAAFr//wc=")</f>
        <v>#REF!</v>
      </c>
      <c r="I11" t="e">
        <f>AND(#REF!,"AAAAAFr//wg=")</f>
        <v>#REF!</v>
      </c>
      <c r="J11" t="e">
        <f>AND(#REF!,"AAAAAFr//wk=")</f>
        <v>#REF!</v>
      </c>
      <c r="K11" t="e">
        <f>AND(#REF!,"AAAAAFr//wo=")</f>
        <v>#REF!</v>
      </c>
      <c r="L11" t="e">
        <f>AND(#REF!,"AAAAAFr//ws=")</f>
        <v>#REF!</v>
      </c>
      <c r="M11" t="e">
        <f>AND(#REF!,"AAAAAFr//ww=")</f>
        <v>#REF!</v>
      </c>
      <c r="N11" t="e">
        <f>AND(#REF!,"AAAAAFr//w0=")</f>
        <v>#REF!</v>
      </c>
      <c r="O11" t="e">
        <f>AND(#REF!,"AAAAAFr//w4=")</f>
        <v>#REF!</v>
      </c>
      <c r="P11" t="e">
        <f>IF(#REF!,"AAAAAFr//w8=",0)</f>
        <v>#REF!</v>
      </c>
      <c r="Q11" t="e">
        <f>AND(#REF!,"AAAAAFr//xA=")</f>
        <v>#REF!</v>
      </c>
      <c r="R11" t="e">
        <f>AND(#REF!,"AAAAAFr//xE=")</f>
        <v>#REF!</v>
      </c>
      <c r="S11" t="e">
        <f>AND(#REF!,"AAAAAFr//xI=")</f>
        <v>#REF!</v>
      </c>
      <c r="T11" t="e">
        <f>AND(#REF!,"AAAAAFr//xM=")</f>
        <v>#REF!</v>
      </c>
      <c r="U11" t="e">
        <f>AND(#REF!,"AAAAAFr//xQ=")</f>
        <v>#REF!</v>
      </c>
      <c r="V11" t="e">
        <f>AND(#REF!,"AAAAAFr//xU=")</f>
        <v>#REF!</v>
      </c>
      <c r="W11" t="e">
        <f>AND(#REF!,"AAAAAFr//xY=")</f>
        <v>#REF!</v>
      </c>
      <c r="X11" t="e">
        <f>AND(#REF!,"AAAAAFr//xc=")</f>
        <v>#REF!</v>
      </c>
      <c r="Y11" t="e">
        <f>AND(#REF!,"AAAAAFr//xg=")</f>
        <v>#REF!</v>
      </c>
      <c r="Z11" t="e">
        <f>IF(#REF!,"AAAAAFr//xk=",0)</f>
        <v>#REF!</v>
      </c>
      <c r="AA11" t="e">
        <f>AND(#REF!,"AAAAAFr//xo=")</f>
        <v>#REF!</v>
      </c>
      <c r="AB11" t="e">
        <f>AND(#REF!,"AAAAAFr//xs=")</f>
        <v>#REF!</v>
      </c>
      <c r="AC11" t="e">
        <f>AND(#REF!,"AAAAAFr//xw=")</f>
        <v>#REF!</v>
      </c>
      <c r="AD11" t="e">
        <f>AND(#REF!,"AAAAAFr//x0=")</f>
        <v>#REF!</v>
      </c>
      <c r="AE11" t="e">
        <f>AND(#REF!,"AAAAAFr//x4=")</f>
        <v>#REF!</v>
      </c>
      <c r="AF11" t="e">
        <f>AND(#REF!,"AAAAAFr//x8=")</f>
        <v>#REF!</v>
      </c>
      <c r="AG11" t="e">
        <f>AND(#REF!,"AAAAAFr//yA=")</f>
        <v>#REF!</v>
      </c>
      <c r="AH11" t="e">
        <f>AND(#REF!,"AAAAAFr//yE=")</f>
        <v>#REF!</v>
      </c>
      <c r="AI11" t="e">
        <f>AND(#REF!,"AAAAAFr//yI=")</f>
        <v>#REF!</v>
      </c>
      <c r="AJ11" t="e">
        <f>IF(#REF!,"AAAAAFr//yM=",0)</f>
        <v>#REF!</v>
      </c>
      <c r="AK11" t="e">
        <f>AND(#REF!,"AAAAAFr//yQ=")</f>
        <v>#REF!</v>
      </c>
      <c r="AL11" t="e">
        <f>AND(#REF!,"AAAAAFr//yU=")</f>
        <v>#REF!</v>
      </c>
      <c r="AM11" t="e">
        <f>AND(#REF!,"AAAAAFr//yY=")</f>
        <v>#REF!</v>
      </c>
      <c r="AN11" t="e">
        <f>AND(#REF!,"AAAAAFr//yc=")</f>
        <v>#REF!</v>
      </c>
      <c r="AO11" t="e">
        <f>AND(#REF!,"AAAAAFr//yg=")</f>
        <v>#REF!</v>
      </c>
      <c r="AP11" t="e">
        <f>AND(#REF!,"AAAAAFr//yk=")</f>
        <v>#REF!</v>
      </c>
      <c r="AQ11" t="e">
        <f>AND(#REF!,"AAAAAFr//yo=")</f>
        <v>#REF!</v>
      </c>
      <c r="AR11" t="e">
        <f>AND(#REF!,"AAAAAFr//ys=")</f>
        <v>#REF!</v>
      </c>
      <c r="AS11" t="e">
        <f>AND(#REF!,"AAAAAFr//yw=")</f>
        <v>#REF!</v>
      </c>
      <c r="AT11" t="e">
        <f>IF(#REF!,"AAAAAFr//y0=",0)</f>
        <v>#REF!</v>
      </c>
      <c r="AU11" t="e">
        <f>AND(#REF!,"AAAAAFr//y4=")</f>
        <v>#REF!</v>
      </c>
      <c r="AV11" t="e">
        <f>AND(#REF!,"AAAAAFr//y8=")</f>
        <v>#REF!</v>
      </c>
      <c r="AW11" t="e">
        <f>AND(#REF!,"AAAAAFr//zA=")</f>
        <v>#REF!</v>
      </c>
      <c r="AX11" t="e">
        <f>AND(#REF!,"AAAAAFr//zE=")</f>
        <v>#REF!</v>
      </c>
      <c r="AY11" t="e">
        <f>AND(#REF!,"AAAAAFr//zI=")</f>
        <v>#REF!</v>
      </c>
      <c r="AZ11" t="e">
        <f>AND(#REF!,"AAAAAFr//zM=")</f>
        <v>#REF!</v>
      </c>
      <c r="BA11" t="e">
        <f>AND(#REF!,"AAAAAFr//zQ=")</f>
        <v>#REF!</v>
      </c>
      <c r="BB11" t="e">
        <f>AND(#REF!,"AAAAAFr//zU=")</f>
        <v>#REF!</v>
      </c>
      <c r="BC11" t="e">
        <f>AND(#REF!,"AAAAAFr//zY=")</f>
        <v>#REF!</v>
      </c>
      <c r="BD11" t="e">
        <f>IF(#REF!,"AAAAAFr//zc=",0)</f>
        <v>#REF!</v>
      </c>
      <c r="BE11" t="e">
        <f>AND(#REF!,"AAAAAFr//zg=")</f>
        <v>#REF!</v>
      </c>
      <c r="BF11" t="e">
        <f>AND(#REF!,"AAAAAFr//zk=")</f>
        <v>#REF!</v>
      </c>
      <c r="BG11" t="e">
        <f>AND(#REF!,"AAAAAFr//zo=")</f>
        <v>#REF!</v>
      </c>
      <c r="BH11" t="e">
        <f>AND(#REF!,"AAAAAFr//zs=")</f>
        <v>#REF!</v>
      </c>
      <c r="BI11" t="e">
        <f>AND(#REF!,"AAAAAFr//zw=")</f>
        <v>#REF!</v>
      </c>
      <c r="BJ11" t="e">
        <f>AND(#REF!,"AAAAAFr//z0=")</f>
        <v>#REF!</v>
      </c>
      <c r="BK11" t="e">
        <f>AND(#REF!,"AAAAAFr//z4=")</f>
        <v>#REF!</v>
      </c>
      <c r="BL11" t="e">
        <f>AND(#REF!,"AAAAAFr//z8=")</f>
        <v>#REF!</v>
      </c>
      <c r="BM11" t="e">
        <f>AND(#REF!,"AAAAAFr//0A=")</f>
        <v>#REF!</v>
      </c>
      <c r="BN11" t="e">
        <f>IF(#REF!,"AAAAAFr//0E=",0)</f>
        <v>#REF!</v>
      </c>
      <c r="BO11" t="e">
        <f>AND(#REF!,"AAAAAFr//0I=")</f>
        <v>#REF!</v>
      </c>
      <c r="BP11" t="e">
        <f>AND(#REF!,"AAAAAFr//0M=")</f>
        <v>#REF!</v>
      </c>
      <c r="BQ11" t="e">
        <f>AND(#REF!,"AAAAAFr//0Q=")</f>
        <v>#REF!</v>
      </c>
      <c r="BR11" t="e">
        <f>AND(#REF!,"AAAAAFr//0U=")</f>
        <v>#REF!</v>
      </c>
      <c r="BS11" t="e">
        <f>AND(#REF!,"AAAAAFr//0Y=")</f>
        <v>#REF!</v>
      </c>
      <c r="BT11" t="e">
        <f>AND(#REF!,"AAAAAFr//0c=")</f>
        <v>#REF!</v>
      </c>
      <c r="BU11" t="e">
        <f>AND(#REF!,"AAAAAFr//0g=")</f>
        <v>#REF!</v>
      </c>
      <c r="BV11" t="e">
        <f>AND(#REF!,"AAAAAFr//0k=")</f>
        <v>#REF!</v>
      </c>
      <c r="BW11" t="e">
        <f>AND(#REF!,"AAAAAFr//0o=")</f>
        <v>#REF!</v>
      </c>
      <c r="BX11" t="e">
        <f>IF(#REF!,"AAAAAFr//0s=",0)</f>
        <v>#REF!</v>
      </c>
      <c r="BY11" t="e">
        <f>AND(#REF!,"AAAAAFr//0w=")</f>
        <v>#REF!</v>
      </c>
      <c r="BZ11" t="e">
        <f>AND(#REF!,"AAAAAFr//00=")</f>
        <v>#REF!</v>
      </c>
      <c r="CA11" t="e">
        <f>AND(#REF!,"AAAAAFr//04=")</f>
        <v>#REF!</v>
      </c>
      <c r="CB11" t="e">
        <f>AND(#REF!,"AAAAAFr//08=")</f>
        <v>#REF!</v>
      </c>
      <c r="CC11" t="e">
        <f>AND(#REF!,"AAAAAFr//1A=")</f>
        <v>#REF!</v>
      </c>
      <c r="CD11" t="e">
        <f>AND(#REF!,"AAAAAFr//1E=")</f>
        <v>#REF!</v>
      </c>
      <c r="CE11" t="e">
        <f>AND(#REF!,"AAAAAFr//1I=")</f>
        <v>#REF!</v>
      </c>
      <c r="CF11" t="e">
        <f>AND(#REF!,"AAAAAFr//1M=")</f>
        <v>#REF!</v>
      </c>
      <c r="CG11" t="e">
        <f>AND(#REF!,"AAAAAFr//1Q=")</f>
        <v>#REF!</v>
      </c>
      <c r="CH11" t="e">
        <f>IF(#REF!,"AAAAAFr//1U=",0)</f>
        <v>#REF!</v>
      </c>
      <c r="CI11" t="e">
        <f>AND(#REF!,"AAAAAFr//1Y=")</f>
        <v>#REF!</v>
      </c>
      <c r="CJ11" t="e">
        <f>AND(#REF!,"AAAAAFr//1c=")</f>
        <v>#REF!</v>
      </c>
      <c r="CK11" t="e">
        <f>AND(#REF!,"AAAAAFr//1g=")</f>
        <v>#REF!</v>
      </c>
      <c r="CL11" t="e">
        <f>AND(#REF!,"AAAAAFr//1k=")</f>
        <v>#REF!</v>
      </c>
      <c r="CM11" t="e">
        <f>AND(#REF!,"AAAAAFr//1o=")</f>
        <v>#REF!</v>
      </c>
      <c r="CN11" t="e">
        <f>AND(#REF!,"AAAAAFr//1s=")</f>
        <v>#REF!</v>
      </c>
      <c r="CO11" t="e">
        <f>AND(#REF!,"AAAAAFr//1w=")</f>
        <v>#REF!</v>
      </c>
      <c r="CP11" t="e">
        <f>AND(#REF!,"AAAAAFr//10=")</f>
        <v>#REF!</v>
      </c>
      <c r="CQ11" t="e">
        <f>AND(#REF!,"AAAAAFr//14=")</f>
        <v>#REF!</v>
      </c>
      <c r="CR11" t="e">
        <f>IF(#REF!,"AAAAAFr//18=",0)</f>
        <v>#REF!</v>
      </c>
      <c r="CS11" t="e">
        <f>AND(#REF!,"AAAAAFr//2A=")</f>
        <v>#REF!</v>
      </c>
      <c r="CT11" t="e">
        <f>AND(#REF!,"AAAAAFr//2E=")</f>
        <v>#REF!</v>
      </c>
      <c r="CU11" t="e">
        <f>AND(#REF!,"AAAAAFr//2I=")</f>
        <v>#REF!</v>
      </c>
      <c r="CV11" t="e">
        <f>AND(#REF!,"AAAAAFr//2M=")</f>
        <v>#REF!</v>
      </c>
      <c r="CW11" t="e">
        <f>AND(#REF!,"AAAAAFr//2Q=")</f>
        <v>#REF!</v>
      </c>
      <c r="CX11" t="e">
        <f>AND(#REF!,"AAAAAFr//2U=")</f>
        <v>#REF!</v>
      </c>
      <c r="CY11" t="e">
        <f>AND(#REF!,"AAAAAFr//2Y=")</f>
        <v>#REF!</v>
      </c>
      <c r="CZ11" t="e">
        <f>AND(#REF!,"AAAAAFr//2c=")</f>
        <v>#REF!</v>
      </c>
      <c r="DA11" t="e">
        <f>AND(#REF!,"AAAAAFr//2g=")</f>
        <v>#REF!</v>
      </c>
      <c r="DB11" t="e">
        <f>IF(#REF!,"AAAAAFr//2k=",0)</f>
        <v>#REF!</v>
      </c>
      <c r="DC11" t="e">
        <f>AND(#REF!,"AAAAAFr//2o=")</f>
        <v>#REF!</v>
      </c>
      <c r="DD11" t="e">
        <f>AND(#REF!,"AAAAAFr//2s=")</f>
        <v>#REF!</v>
      </c>
      <c r="DE11" t="e">
        <f>AND(#REF!,"AAAAAFr//2w=")</f>
        <v>#REF!</v>
      </c>
      <c r="DF11" t="e">
        <f>AND(#REF!,"AAAAAFr//20=")</f>
        <v>#REF!</v>
      </c>
      <c r="DG11" t="e">
        <f>AND(#REF!,"AAAAAFr//24=")</f>
        <v>#REF!</v>
      </c>
      <c r="DH11" t="e">
        <f>AND(#REF!,"AAAAAFr//28=")</f>
        <v>#REF!</v>
      </c>
      <c r="DI11" t="e">
        <f>AND(#REF!,"AAAAAFr//3A=")</f>
        <v>#REF!</v>
      </c>
      <c r="DJ11" t="e">
        <f>AND(#REF!,"AAAAAFr//3E=")</f>
        <v>#REF!</v>
      </c>
      <c r="DK11" t="e">
        <f>AND(#REF!,"AAAAAFr//3I=")</f>
        <v>#REF!</v>
      </c>
      <c r="DL11" t="e">
        <f>IF(#REF!,"AAAAAFr//3M=",0)</f>
        <v>#REF!</v>
      </c>
      <c r="DM11" t="e">
        <f>AND(#REF!,"AAAAAFr//3Q=")</f>
        <v>#REF!</v>
      </c>
      <c r="DN11" t="e">
        <f>AND(#REF!,"AAAAAFr//3U=")</f>
        <v>#REF!</v>
      </c>
      <c r="DO11" t="e">
        <f>AND(#REF!,"AAAAAFr//3Y=")</f>
        <v>#REF!</v>
      </c>
      <c r="DP11" t="e">
        <f>AND(#REF!,"AAAAAFr//3c=")</f>
        <v>#REF!</v>
      </c>
      <c r="DQ11" t="e">
        <f>AND(#REF!,"AAAAAFr//3g=")</f>
        <v>#REF!</v>
      </c>
      <c r="DR11" t="e">
        <f>AND(#REF!,"AAAAAFr//3k=")</f>
        <v>#REF!</v>
      </c>
      <c r="DS11" t="e">
        <f>AND(#REF!,"AAAAAFr//3o=")</f>
        <v>#REF!</v>
      </c>
      <c r="DT11" t="e">
        <f>AND(#REF!,"AAAAAFr//3s=")</f>
        <v>#REF!</v>
      </c>
      <c r="DU11" t="e">
        <f>AND(#REF!,"AAAAAFr//3w=")</f>
        <v>#REF!</v>
      </c>
      <c r="DV11" t="e">
        <f>IF(#REF!,"AAAAAFr//30=",0)</f>
        <v>#REF!</v>
      </c>
      <c r="DW11" t="e">
        <f>AND(#REF!,"AAAAAFr//34=")</f>
        <v>#REF!</v>
      </c>
      <c r="DX11" t="e">
        <f>AND(#REF!,"AAAAAFr//38=")</f>
        <v>#REF!</v>
      </c>
      <c r="DY11" t="e">
        <f>AND(#REF!,"AAAAAFr//4A=")</f>
        <v>#REF!</v>
      </c>
      <c r="DZ11" t="e">
        <f>AND(#REF!,"AAAAAFr//4E=")</f>
        <v>#REF!</v>
      </c>
      <c r="EA11" t="e">
        <f>AND(#REF!,"AAAAAFr//4I=")</f>
        <v>#REF!</v>
      </c>
      <c r="EB11" t="e">
        <f>AND(#REF!,"AAAAAFr//4M=")</f>
        <v>#REF!</v>
      </c>
      <c r="EC11" t="e">
        <f>AND(#REF!,"AAAAAFr//4Q=")</f>
        <v>#REF!</v>
      </c>
      <c r="ED11" t="e">
        <f>AND(#REF!,"AAAAAFr//4U=")</f>
        <v>#REF!</v>
      </c>
      <c r="EE11" t="e">
        <f>AND(#REF!,"AAAAAFr//4Y=")</f>
        <v>#REF!</v>
      </c>
      <c r="EF11" t="e">
        <f>IF(#REF!,"AAAAAFr//4c=",0)</f>
        <v>#REF!</v>
      </c>
      <c r="EG11" t="e">
        <f>AND(#REF!,"AAAAAFr//4g=")</f>
        <v>#REF!</v>
      </c>
      <c r="EH11" t="e">
        <f>AND(#REF!,"AAAAAFr//4k=")</f>
        <v>#REF!</v>
      </c>
      <c r="EI11" t="e">
        <f>AND(#REF!,"AAAAAFr//4o=")</f>
        <v>#REF!</v>
      </c>
      <c r="EJ11" t="e">
        <f>AND(#REF!,"AAAAAFr//4s=")</f>
        <v>#REF!</v>
      </c>
      <c r="EK11" t="e">
        <f>AND(#REF!,"AAAAAFr//4w=")</f>
        <v>#REF!</v>
      </c>
      <c r="EL11" t="e">
        <f>AND(#REF!,"AAAAAFr//40=")</f>
        <v>#REF!</v>
      </c>
      <c r="EM11" t="e">
        <f>AND(#REF!,"AAAAAFr//44=")</f>
        <v>#REF!</v>
      </c>
      <c r="EN11" t="e">
        <f>AND(#REF!,"AAAAAFr//48=")</f>
        <v>#REF!</v>
      </c>
      <c r="EO11" t="e">
        <f>AND(#REF!,"AAAAAFr//5A=")</f>
        <v>#REF!</v>
      </c>
      <c r="EP11" t="e">
        <f>IF(#REF!,"AAAAAFr//5E=",0)</f>
        <v>#REF!</v>
      </c>
      <c r="EQ11" t="e">
        <f>AND(#REF!,"AAAAAFr//5I=")</f>
        <v>#REF!</v>
      </c>
      <c r="ER11" t="e">
        <f>AND(#REF!,"AAAAAFr//5M=")</f>
        <v>#REF!</v>
      </c>
      <c r="ES11" t="e">
        <f>AND(#REF!,"AAAAAFr//5Q=")</f>
        <v>#REF!</v>
      </c>
      <c r="ET11" t="e">
        <f>AND(#REF!,"AAAAAFr//5U=")</f>
        <v>#REF!</v>
      </c>
      <c r="EU11" t="e">
        <f>AND(#REF!,"AAAAAFr//5Y=")</f>
        <v>#REF!</v>
      </c>
      <c r="EV11" t="e">
        <f>AND(#REF!,"AAAAAFr//5c=")</f>
        <v>#REF!</v>
      </c>
      <c r="EW11" t="e">
        <f>AND(#REF!,"AAAAAFr//5g=")</f>
        <v>#REF!</v>
      </c>
      <c r="EX11" t="e">
        <f>AND(#REF!,"AAAAAFr//5k=")</f>
        <v>#REF!</v>
      </c>
      <c r="EY11" t="e">
        <f>AND(#REF!,"AAAAAFr//5o=")</f>
        <v>#REF!</v>
      </c>
      <c r="EZ11" t="e">
        <f>IF(#REF!,"AAAAAFr//5s=",0)</f>
        <v>#REF!</v>
      </c>
      <c r="FA11" t="e">
        <f>AND(#REF!,"AAAAAFr//5w=")</f>
        <v>#REF!</v>
      </c>
      <c r="FB11" t="e">
        <f>AND(#REF!,"AAAAAFr//50=")</f>
        <v>#REF!</v>
      </c>
      <c r="FC11" t="e">
        <f>AND(#REF!,"AAAAAFr//54=")</f>
        <v>#REF!</v>
      </c>
      <c r="FD11" t="e">
        <f>AND(#REF!,"AAAAAFr//58=")</f>
        <v>#REF!</v>
      </c>
      <c r="FE11" t="e">
        <f>AND(#REF!,"AAAAAFr//6A=")</f>
        <v>#REF!</v>
      </c>
      <c r="FF11" t="e">
        <f>AND(#REF!,"AAAAAFr//6E=")</f>
        <v>#REF!</v>
      </c>
      <c r="FG11" t="e">
        <f>AND(#REF!,"AAAAAFr//6I=")</f>
        <v>#REF!</v>
      </c>
      <c r="FH11" t="e">
        <f>AND(#REF!,"AAAAAFr//6M=")</f>
        <v>#REF!</v>
      </c>
      <c r="FI11" t="e">
        <f>AND(#REF!,"AAAAAFr//6Q=")</f>
        <v>#REF!</v>
      </c>
      <c r="FJ11" t="e">
        <f>IF(#REF!,"AAAAAFr//6U=",0)</f>
        <v>#REF!</v>
      </c>
      <c r="FK11" t="e">
        <f>AND(#REF!,"AAAAAFr//6Y=")</f>
        <v>#REF!</v>
      </c>
      <c r="FL11" t="e">
        <f>AND(#REF!,"AAAAAFr//6c=")</f>
        <v>#REF!</v>
      </c>
      <c r="FM11" t="e">
        <f>AND(#REF!,"AAAAAFr//6g=")</f>
        <v>#REF!</v>
      </c>
      <c r="FN11" t="e">
        <f>AND(#REF!,"AAAAAFr//6k=")</f>
        <v>#REF!</v>
      </c>
      <c r="FO11" t="e">
        <f>AND(#REF!,"AAAAAFr//6o=")</f>
        <v>#REF!</v>
      </c>
      <c r="FP11" t="e">
        <f>AND(#REF!,"AAAAAFr//6s=")</f>
        <v>#REF!</v>
      </c>
      <c r="FQ11" t="e">
        <f>AND(#REF!,"AAAAAFr//6w=")</f>
        <v>#REF!</v>
      </c>
      <c r="FR11" t="e">
        <f>AND(#REF!,"AAAAAFr//60=")</f>
        <v>#REF!</v>
      </c>
      <c r="FS11" t="e">
        <f>AND(#REF!,"AAAAAFr//64=")</f>
        <v>#REF!</v>
      </c>
      <c r="FT11" t="e">
        <f>IF(#REF!,"AAAAAFr//68=",0)</f>
        <v>#REF!</v>
      </c>
      <c r="FU11" t="e">
        <f>AND(#REF!,"AAAAAFr//7A=")</f>
        <v>#REF!</v>
      </c>
      <c r="FV11" t="e">
        <f>AND(#REF!,"AAAAAFr//7E=")</f>
        <v>#REF!</v>
      </c>
      <c r="FW11" t="e">
        <f>AND(#REF!,"AAAAAFr//7I=")</f>
        <v>#REF!</v>
      </c>
      <c r="FX11" t="e">
        <f>AND(#REF!,"AAAAAFr//7M=")</f>
        <v>#REF!</v>
      </c>
      <c r="FY11" t="e">
        <f>AND(#REF!,"AAAAAFr//7Q=")</f>
        <v>#REF!</v>
      </c>
      <c r="FZ11" t="e">
        <f>AND(#REF!,"AAAAAFr//7U=")</f>
        <v>#REF!</v>
      </c>
      <c r="GA11" t="e">
        <f>AND(#REF!,"AAAAAFr//7Y=")</f>
        <v>#REF!</v>
      </c>
      <c r="GB11" t="e">
        <f>AND(#REF!,"AAAAAFr//7c=")</f>
        <v>#REF!</v>
      </c>
      <c r="GC11" t="e">
        <f>AND(#REF!,"AAAAAFr//7g=")</f>
        <v>#REF!</v>
      </c>
      <c r="GD11" t="e">
        <f>IF(#REF!,"AAAAAFr//7k=",0)</f>
        <v>#REF!</v>
      </c>
      <c r="GE11" t="e">
        <f>AND(#REF!,"AAAAAFr//7o=")</f>
        <v>#REF!</v>
      </c>
      <c r="GF11" t="e">
        <f>AND(#REF!,"AAAAAFr//7s=")</f>
        <v>#REF!</v>
      </c>
      <c r="GG11" t="e">
        <f>AND(#REF!,"AAAAAFr//7w=")</f>
        <v>#REF!</v>
      </c>
      <c r="GH11" t="e">
        <f>AND(#REF!,"AAAAAFr//70=")</f>
        <v>#REF!</v>
      </c>
      <c r="GI11" t="e">
        <f>AND(#REF!,"AAAAAFr//74=")</f>
        <v>#REF!</v>
      </c>
      <c r="GJ11" t="e">
        <f>AND(#REF!,"AAAAAFr//78=")</f>
        <v>#REF!</v>
      </c>
      <c r="GK11" t="e">
        <f>AND(#REF!,"AAAAAFr//8A=")</f>
        <v>#REF!</v>
      </c>
      <c r="GL11" t="e">
        <f>AND(#REF!,"AAAAAFr//8E=")</f>
        <v>#REF!</v>
      </c>
      <c r="GM11" t="e">
        <f>AND(#REF!,"AAAAAFr//8I=")</f>
        <v>#REF!</v>
      </c>
      <c r="GN11" t="e">
        <f>IF(#REF!,"AAAAAFr//8M=",0)</f>
        <v>#REF!</v>
      </c>
      <c r="GO11" t="e">
        <f>AND(#REF!,"AAAAAFr//8Q=")</f>
        <v>#REF!</v>
      </c>
      <c r="GP11" t="e">
        <f>AND(#REF!,"AAAAAFr//8U=")</f>
        <v>#REF!</v>
      </c>
      <c r="GQ11" t="e">
        <f>AND(#REF!,"AAAAAFr//8Y=")</f>
        <v>#REF!</v>
      </c>
      <c r="GR11" t="e">
        <f>AND(#REF!,"AAAAAFr//8c=")</f>
        <v>#REF!</v>
      </c>
      <c r="GS11" t="e">
        <f>AND(#REF!,"AAAAAFr//8g=")</f>
        <v>#REF!</v>
      </c>
      <c r="GT11" t="e">
        <f>AND(#REF!,"AAAAAFr//8k=")</f>
        <v>#REF!</v>
      </c>
      <c r="GU11" t="e">
        <f>AND(#REF!,"AAAAAFr//8o=")</f>
        <v>#REF!</v>
      </c>
      <c r="GV11" t="e">
        <f>AND(#REF!,"AAAAAFr//8s=")</f>
        <v>#REF!</v>
      </c>
      <c r="GW11" t="e">
        <f>AND(#REF!,"AAAAAFr//8w=")</f>
        <v>#REF!</v>
      </c>
      <c r="GX11" t="e">
        <f>IF(#REF!,"AAAAAFr//80=",0)</f>
        <v>#REF!</v>
      </c>
      <c r="GY11" t="e">
        <f>AND(#REF!,"AAAAAFr//84=")</f>
        <v>#REF!</v>
      </c>
      <c r="GZ11" t="e">
        <f>AND(#REF!,"AAAAAFr//88=")</f>
        <v>#REF!</v>
      </c>
      <c r="HA11" t="e">
        <f>AND(#REF!,"AAAAAFr//9A=")</f>
        <v>#REF!</v>
      </c>
      <c r="HB11" t="e">
        <f>AND(#REF!,"AAAAAFr//9E=")</f>
        <v>#REF!</v>
      </c>
      <c r="HC11" t="e">
        <f>AND(#REF!,"AAAAAFr//9I=")</f>
        <v>#REF!</v>
      </c>
      <c r="HD11" t="e">
        <f>AND(#REF!,"AAAAAFr//9M=")</f>
        <v>#REF!</v>
      </c>
      <c r="HE11" t="e">
        <f>AND(#REF!,"AAAAAFr//9Q=")</f>
        <v>#REF!</v>
      </c>
      <c r="HF11" t="e">
        <f>AND(#REF!,"AAAAAFr//9U=")</f>
        <v>#REF!</v>
      </c>
      <c r="HG11" t="e">
        <f>AND(#REF!,"AAAAAFr//9Y=")</f>
        <v>#REF!</v>
      </c>
      <c r="HH11" t="e">
        <f>IF(#REF!,"AAAAAFr//9c=",0)</f>
        <v>#REF!</v>
      </c>
      <c r="HI11" t="e">
        <f>AND(#REF!,"AAAAAFr//9g=")</f>
        <v>#REF!</v>
      </c>
      <c r="HJ11" t="e">
        <f>AND(#REF!,"AAAAAFr//9k=")</f>
        <v>#REF!</v>
      </c>
      <c r="HK11" t="e">
        <f>AND(#REF!,"AAAAAFr//9o=")</f>
        <v>#REF!</v>
      </c>
      <c r="HL11" t="e">
        <f>AND(#REF!,"AAAAAFr//9s=")</f>
        <v>#REF!</v>
      </c>
      <c r="HM11" t="e">
        <f>AND(#REF!,"AAAAAFr//9w=")</f>
        <v>#REF!</v>
      </c>
      <c r="HN11" t="e">
        <f>AND(#REF!,"AAAAAFr//90=")</f>
        <v>#REF!</v>
      </c>
      <c r="HO11" t="e">
        <f>AND(#REF!,"AAAAAFr//94=")</f>
        <v>#REF!</v>
      </c>
      <c r="HP11" t="e">
        <f>AND(#REF!,"AAAAAFr//98=")</f>
        <v>#REF!</v>
      </c>
      <c r="HQ11" t="e">
        <f>AND(#REF!,"AAAAAFr//+A=")</f>
        <v>#REF!</v>
      </c>
      <c r="HR11" t="e">
        <f>IF(#REF!,"AAAAAFr//+E=",0)</f>
        <v>#REF!</v>
      </c>
      <c r="HS11" t="e">
        <f>AND(#REF!,"AAAAAFr//+I=")</f>
        <v>#REF!</v>
      </c>
      <c r="HT11" t="e">
        <f>AND(#REF!,"AAAAAFr//+M=")</f>
        <v>#REF!</v>
      </c>
      <c r="HU11" t="e">
        <f>AND(#REF!,"AAAAAFr//+Q=")</f>
        <v>#REF!</v>
      </c>
      <c r="HV11" t="e">
        <f>AND(#REF!,"AAAAAFr//+U=")</f>
        <v>#REF!</v>
      </c>
      <c r="HW11" t="e">
        <f>AND(#REF!,"AAAAAFr//+Y=")</f>
        <v>#REF!</v>
      </c>
      <c r="HX11" t="e">
        <f>AND(#REF!,"AAAAAFr//+c=")</f>
        <v>#REF!</v>
      </c>
      <c r="HY11" t="e">
        <f>AND(#REF!,"AAAAAFr//+g=")</f>
        <v>#REF!</v>
      </c>
      <c r="HZ11" t="e">
        <f>AND(#REF!,"AAAAAFr//+k=")</f>
        <v>#REF!</v>
      </c>
      <c r="IA11" t="e">
        <f>AND(#REF!,"AAAAAFr//+o=")</f>
        <v>#REF!</v>
      </c>
      <c r="IB11" t="e">
        <f>IF(#REF!,"AAAAAFr//+s=",0)</f>
        <v>#REF!</v>
      </c>
      <c r="IC11" t="e">
        <f>AND(#REF!,"AAAAAFr//+w=")</f>
        <v>#REF!</v>
      </c>
      <c r="ID11" t="e">
        <f>AND(#REF!,"AAAAAFr//+0=")</f>
        <v>#REF!</v>
      </c>
      <c r="IE11" t="e">
        <f>AND(#REF!,"AAAAAFr//+4=")</f>
        <v>#REF!</v>
      </c>
      <c r="IF11" t="e">
        <f>AND(#REF!,"AAAAAFr//+8=")</f>
        <v>#REF!</v>
      </c>
      <c r="IG11" t="e">
        <f>AND(#REF!,"AAAAAFr///A=")</f>
        <v>#REF!</v>
      </c>
      <c r="IH11" t="e">
        <f>AND(#REF!,"AAAAAFr///E=")</f>
        <v>#REF!</v>
      </c>
      <c r="II11" t="e">
        <f>AND(#REF!,"AAAAAFr///I=")</f>
        <v>#REF!</v>
      </c>
      <c r="IJ11" t="e">
        <f>AND(#REF!,"AAAAAFr///M=")</f>
        <v>#REF!</v>
      </c>
      <c r="IK11" t="e">
        <f>AND(#REF!,"AAAAAFr///Q=")</f>
        <v>#REF!</v>
      </c>
      <c r="IL11" t="e">
        <f>IF(#REF!,"AAAAAFr///U=",0)</f>
        <v>#REF!</v>
      </c>
      <c r="IM11" t="e">
        <f>AND(#REF!,"AAAAAFr///Y=")</f>
        <v>#REF!</v>
      </c>
      <c r="IN11" t="e">
        <f>AND(#REF!,"AAAAAFr///c=")</f>
        <v>#REF!</v>
      </c>
      <c r="IO11" t="e">
        <f>AND(#REF!,"AAAAAFr///g=")</f>
        <v>#REF!</v>
      </c>
      <c r="IP11" t="e">
        <f>AND(#REF!,"AAAAAFr///k=")</f>
        <v>#REF!</v>
      </c>
      <c r="IQ11" t="e">
        <f>AND(#REF!,"AAAAAFr///o=")</f>
        <v>#REF!</v>
      </c>
      <c r="IR11" t="e">
        <f>AND(#REF!,"AAAAAFr///s=")</f>
        <v>#REF!</v>
      </c>
      <c r="IS11" t="e">
        <f>AND(#REF!,"AAAAAFr///w=")</f>
        <v>#REF!</v>
      </c>
      <c r="IT11" t="e">
        <f>AND(#REF!,"AAAAAFr///0=")</f>
        <v>#REF!</v>
      </c>
      <c r="IU11" t="e">
        <f>AND(#REF!,"AAAAAFr///4=")</f>
        <v>#REF!</v>
      </c>
      <c r="IV11" t="e">
        <f>IF(#REF!,"AAAAAFr///8=",0)</f>
        <v>#REF!</v>
      </c>
    </row>
    <row r="12" spans="1:256" ht="15">
      <c r="A12" t="e">
        <f>AND(#REF!,"AAAAADcs6QA=")</f>
        <v>#REF!</v>
      </c>
      <c r="B12" t="e">
        <f>AND(#REF!,"AAAAADcs6QE=")</f>
        <v>#REF!</v>
      </c>
      <c r="C12" t="e">
        <f>AND(#REF!,"AAAAADcs6QI=")</f>
        <v>#REF!</v>
      </c>
      <c r="D12" t="e">
        <f>AND(#REF!,"AAAAADcs6QM=")</f>
        <v>#REF!</v>
      </c>
      <c r="E12" t="e">
        <f>AND(#REF!,"AAAAADcs6QQ=")</f>
        <v>#REF!</v>
      </c>
      <c r="F12" t="e">
        <f>AND(#REF!,"AAAAADcs6QU=")</f>
        <v>#REF!</v>
      </c>
      <c r="G12" t="e">
        <f>AND(#REF!,"AAAAADcs6QY=")</f>
        <v>#REF!</v>
      </c>
      <c r="H12" t="e">
        <f>AND(#REF!,"AAAAADcs6Qc=")</f>
        <v>#REF!</v>
      </c>
      <c r="I12" t="e">
        <f>AND(#REF!,"AAAAADcs6Qg=")</f>
        <v>#REF!</v>
      </c>
      <c r="J12" t="e">
        <f>IF(#REF!,"AAAAADcs6Qk=",0)</f>
        <v>#REF!</v>
      </c>
      <c r="K12" t="e">
        <f>AND(#REF!,"AAAAADcs6Qo=")</f>
        <v>#REF!</v>
      </c>
      <c r="L12" t="e">
        <f>AND(#REF!,"AAAAADcs6Qs=")</f>
        <v>#REF!</v>
      </c>
      <c r="M12" t="e">
        <f>AND(#REF!,"AAAAADcs6Qw=")</f>
        <v>#REF!</v>
      </c>
      <c r="N12" t="e">
        <f>AND(#REF!,"AAAAADcs6Q0=")</f>
        <v>#REF!</v>
      </c>
      <c r="O12" t="e">
        <f>AND(#REF!,"AAAAADcs6Q4=")</f>
        <v>#REF!</v>
      </c>
      <c r="P12" t="e">
        <f>AND(#REF!,"AAAAADcs6Q8=")</f>
        <v>#REF!</v>
      </c>
      <c r="Q12" t="e">
        <f>AND(#REF!,"AAAAADcs6RA=")</f>
        <v>#REF!</v>
      </c>
      <c r="R12" t="e">
        <f>AND(#REF!,"AAAAADcs6RE=")</f>
        <v>#REF!</v>
      </c>
      <c r="S12" t="e">
        <f>AND(#REF!,"AAAAADcs6RI=")</f>
        <v>#REF!</v>
      </c>
      <c r="T12" t="e">
        <f>IF(#REF!,"AAAAADcs6RM=",0)</f>
        <v>#REF!</v>
      </c>
      <c r="U12" t="e">
        <f>AND(#REF!,"AAAAADcs6RQ=")</f>
        <v>#REF!</v>
      </c>
      <c r="V12" t="e">
        <f>AND(#REF!,"AAAAADcs6RU=")</f>
        <v>#REF!</v>
      </c>
      <c r="W12" t="e">
        <f>AND(#REF!,"AAAAADcs6RY=")</f>
        <v>#REF!</v>
      </c>
      <c r="X12" t="e">
        <f>AND(#REF!,"AAAAADcs6Rc=")</f>
        <v>#REF!</v>
      </c>
      <c r="Y12" t="e">
        <f>AND(#REF!,"AAAAADcs6Rg=")</f>
        <v>#REF!</v>
      </c>
      <c r="Z12" t="e">
        <f>AND(#REF!,"AAAAADcs6Rk=")</f>
        <v>#REF!</v>
      </c>
      <c r="AA12" t="e">
        <f>AND(#REF!,"AAAAADcs6Ro=")</f>
        <v>#REF!</v>
      </c>
      <c r="AB12" t="e">
        <f>AND(#REF!,"AAAAADcs6Rs=")</f>
        <v>#REF!</v>
      </c>
      <c r="AC12" t="e">
        <f>AND(#REF!,"AAAAADcs6Rw=")</f>
        <v>#REF!</v>
      </c>
      <c r="AD12" t="e">
        <f>IF(#REF!,"AAAAADcs6R0=",0)</f>
        <v>#REF!</v>
      </c>
      <c r="AE12" t="e">
        <f>AND(#REF!,"AAAAADcs6R4=")</f>
        <v>#REF!</v>
      </c>
      <c r="AF12" t="e">
        <f>AND(#REF!,"AAAAADcs6R8=")</f>
        <v>#REF!</v>
      </c>
      <c r="AG12" t="e">
        <f>AND(#REF!,"AAAAADcs6SA=")</f>
        <v>#REF!</v>
      </c>
      <c r="AH12" t="e">
        <f>AND(#REF!,"AAAAADcs6SE=")</f>
        <v>#REF!</v>
      </c>
      <c r="AI12" t="e">
        <f>AND(#REF!,"AAAAADcs6SI=")</f>
        <v>#REF!</v>
      </c>
      <c r="AJ12" t="e">
        <f>AND(#REF!,"AAAAADcs6SM=")</f>
        <v>#REF!</v>
      </c>
      <c r="AK12" t="e">
        <f>AND(#REF!,"AAAAADcs6SQ=")</f>
        <v>#REF!</v>
      </c>
      <c r="AL12" t="e">
        <f>AND(#REF!,"AAAAADcs6SU=")</f>
        <v>#REF!</v>
      </c>
      <c r="AM12" t="e">
        <f>AND(#REF!,"AAAAADcs6SY=")</f>
        <v>#REF!</v>
      </c>
      <c r="AN12" t="e">
        <f>IF(#REF!,"AAAAADcs6Sc=",0)</f>
        <v>#REF!</v>
      </c>
      <c r="AO12" t="e">
        <f>AND(#REF!,"AAAAADcs6Sg=")</f>
        <v>#REF!</v>
      </c>
      <c r="AP12" t="e">
        <f>AND(#REF!,"AAAAADcs6Sk=")</f>
        <v>#REF!</v>
      </c>
      <c r="AQ12" t="e">
        <f>AND(#REF!,"AAAAADcs6So=")</f>
        <v>#REF!</v>
      </c>
      <c r="AR12" t="e">
        <f>AND(#REF!,"AAAAADcs6Ss=")</f>
        <v>#REF!</v>
      </c>
      <c r="AS12" t="e">
        <f>AND(#REF!,"AAAAADcs6Sw=")</f>
        <v>#REF!</v>
      </c>
      <c r="AT12" t="e">
        <f>AND(#REF!,"AAAAADcs6S0=")</f>
        <v>#REF!</v>
      </c>
      <c r="AU12" t="e">
        <f>AND(#REF!,"AAAAADcs6S4=")</f>
        <v>#REF!</v>
      </c>
      <c r="AV12" t="e">
        <f>AND(#REF!,"AAAAADcs6S8=")</f>
        <v>#REF!</v>
      </c>
      <c r="AW12" t="e">
        <f>AND(#REF!,"AAAAADcs6TA=")</f>
        <v>#REF!</v>
      </c>
      <c r="AX12" t="e">
        <f>IF(#REF!,"AAAAADcs6TE=",0)</f>
        <v>#REF!</v>
      </c>
      <c r="AY12" t="e">
        <f>AND(#REF!,"AAAAADcs6TI=")</f>
        <v>#REF!</v>
      </c>
      <c r="AZ12" t="e">
        <f>AND(#REF!,"AAAAADcs6TM=")</f>
        <v>#REF!</v>
      </c>
      <c r="BA12" t="e">
        <f>AND(#REF!,"AAAAADcs6TQ=")</f>
        <v>#REF!</v>
      </c>
      <c r="BB12" t="e">
        <f>AND(#REF!,"AAAAADcs6TU=")</f>
        <v>#REF!</v>
      </c>
      <c r="BC12" t="e">
        <f>AND(#REF!,"AAAAADcs6TY=")</f>
        <v>#REF!</v>
      </c>
      <c r="BD12" t="e">
        <f>AND(#REF!,"AAAAADcs6Tc=")</f>
        <v>#REF!</v>
      </c>
      <c r="BE12" t="e">
        <f>AND(#REF!,"AAAAADcs6Tg=")</f>
        <v>#REF!</v>
      </c>
      <c r="BF12" t="e">
        <f>AND(#REF!,"AAAAADcs6Tk=")</f>
        <v>#REF!</v>
      </c>
      <c r="BG12" t="e">
        <f>AND(#REF!,"AAAAADcs6To=")</f>
        <v>#REF!</v>
      </c>
      <c r="BH12" t="e">
        <f>IF(#REF!,"AAAAADcs6Ts=",0)</f>
        <v>#REF!</v>
      </c>
      <c r="BI12" t="e">
        <f>AND(#REF!,"AAAAADcs6Tw=")</f>
        <v>#REF!</v>
      </c>
      <c r="BJ12" t="e">
        <f>AND(#REF!,"AAAAADcs6T0=")</f>
        <v>#REF!</v>
      </c>
      <c r="BK12" t="e">
        <f>AND(#REF!,"AAAAADcs6T4=")</f>
        <v>#REF!</v>
      </c>
      <c r="BL12" t="e">
        <f>AND(#REF!,"AAAAADcs6T8=")</f>
        <v>#REF!</v>
      </c>
      <c r="BM12" t="e">
        <f>AND(#REF!,"AAAAADcs6UA=")</f>
        <v>#REF!</v>
      </c>
      <c r="BN12" t="e">
        <f>AND(#REF!,"AAAAADcs6UE=")</f>
        <v>#REF!</v>
      </c>
      <c r="BO12" t="e">
        <f>AND(#REF!,"AAAAADcs6UI=")</f>
        <v>#REF!</v>
      </c>
      <c r="BP12" t="e">
        <f>AND(#REF!,"AAAAADcs6UM=")</f>
        <v>#REF!</v>
      </c>
      <c r="BQ12" t="e">
        <f>AND(#REF!,"AAAAADcs6UQ=")</f>
        <v>#REF!</v>
      </c>
      <c r="BR12" t="e">
        <f>IF(#REF!,"AAAAADcs6UU=",0)</f>
        <v>#REF!</v>
      </c>
      <c r="BS12" t="e">
        <f>AND(#REF!,"AAAAADcs6UY=")</f>
        <v>#REF!</v>
      </c>
      <c r="BT12" t="e">
        <f>AND(#REF!,"AAAAADcs6Uc=")</f>
        <v>#REF!</v>
      </c>
      <c r="BU12" t="e">
        <f>AND(#REF!,"AAAAADcs6Ug=")</f>
        <v>#REF!</v>
      </c>
      <c r="BV12" t="e">
        <f>AND(#REF!,"AAAAADcs6Uk=")</f>
        <v>#REF!</v>
      </c>
      <c r="BW12" t="e">
        <f>AND(#REF!,"AAAAADcs6Uo=")</f>
        <v>#REF!</v>
      </c>
      <c r="BX12" t="e">
        <f>AND(#REF!,"AAAAADcs6Us=")</f>
        <v>#REF!</v>
      </c>
      <c r="BY12" t="e">
        <f>AND(#REF!,"AAAAADcs6Uw=")</f>
        <v>#REF!</v>
      </c>
      <c r="BZ12" t="e">
        <f>AND(#REF!,"AAAAADcs6U0=")</f>
        <v>#REF!</v>
      </c>
      <c r="CA12" t="e">
        <f>AND(#REF!,"AAAAADcs6U4=")</f>
        <v>#REF!</v>
      </c>
      <c r="CB12" t="e">
        <f>IF(#REF!,"AAAAADcs6U8=",0)</f>
        <v>#REF!</v>
      </c>
      <c r="CC12" t="e">
        <f>AND(#REF!,"AAAAADcs6VA=")</f>
        <v>#REF!</v>
      </c>
      <c r="CD12" t="e">
        <f>AND(#REF!,"AAAAADcs6VE=")</f>
        <v>#REF!</v>
      </c>
      <c r="CE12" t="e">
        <f>AND(#REF!,"AAAAADcs6VI=")</f>
        <v>#REF!</v>
      </c>
      <c r="CF12" t="e">
        <f>AND(#REF!,"AAAAADcs6VM=")</f>
        <v>#REF!</v>
      </c>
      <c r="CG12" t="e">
        <f>AND(#REF!,"AAAAADcs6VQ=")</f>
        <v>#REF!</v>
      </c>
      <c r="CH12" t="e">
        <f>AND(#REF!,"AAAAADcs6VU=")</f>
        <v>#REF!</v>
      </c>
      <c r="CI12" t="e">
        <f>AND(#REF!,"AAAAADcs6VY=")</f>
        <v>#REF!</v>
      </c>
      <c r="CJ12" t="e">
        <f>AND(#REF!,"AAAAADcs6Vc=")</f>
        <v>#REF!</v>
      </c>
      <c r="CK12" t="e">
        <f>AND(#REF!,"AAAAADcs6Vg=")</f>
        <v>#REF!</v>
      </c>
      <c r="CL12" t="e">
        <f>IF(#REF!,"AAAAADcs6Vk=",0)</f>
        <v>#REF!</v>
      </c>
      <c r="CM12" t="e">
        <f>AND(#REF!,"AAAAADcs6Vo=")</f>
        <v>#REF!</v>
      </c>
      <c r="CN12" t="e">
        <f>AND(#REF!,"AAAAADcs6Vs=")</f>
        <v>#REF!</v>
      </c>
      <c r="CO12" t="e">
        <f>AND(#REF!,"AAAAADcs6Vw=")</f>
        <v>#REF!</v>
      </c>
      <c r="CP12" t="e">
        <f>AND(#REF!,"AAAAADcs6V0=")</f>
        <v>#REF!</v>
      </c>
      <c r="CQ12" t="e">
        <f>AND(#REF!,"AAAAADcs6V4=")</f>
        <v>#REF!</v>
      </c>
      <c r="CR12" t="e">
        <f>AND(#REF!,"AAAAADcs6V8=")</f>
        <v>#REF!</v>
      </c>
      <c r="CS12" t="e">
        <f>AND(#REF!,"AAAAADcs6WA=")</f>
        <v>#REF!</v>
      </c>
      <c r="CT12" t="e">
        <f>AND(#REF!,"AAAAADcs6WE=")</f>
        <v>#REF!</v>
      </c>
      <c r="CU12" t="e">
        <f>AND(#REF!,"AAAAADcs6WI=")</f>
        <v>#REF!</v>
      </c>
      <c r="CV12" t="e">
        <f>IF(#REF!,"AAAAADcs6WM=",0)</f>
        <v>#REF!</v>
      </c>
      <c r="CW12" t="e">
        <f>AND(#REF!,"AAAAADcs6WQ=")</f>
        <v>#REF!</v>
      </c>
      <c r="CX12" t="e">
        <f>AND(#REF!,"AAAAADcs6WU=")</f>
        <v>#REF!</v>
      </c>
      <c r="CY12" t="e">
        <f>AND(#REF!,"AAAAADcs6WY=")</f>
        <v>#REF!</v>
      </c>
      <c r="CZ12" t="e">
        <f>AND(#REF!,"AAAAADcs6Wc=")</f>
        <v>#REF!</v>
      </c>
      <c r="DA12" t="e">
        <f>AND(#REF!,"AAAAADcs6Wg=")</f>
        <v>#REF!</v>
      </c>
      <c r="DB12" t="e">
        <f>AND(#REF!,"AAAAADcs6Wk=")</f>
        <v>#REF!</v>
      </c>
      <c r="DC12" t="e">
        <f>AND(#REF!,"AAAAADcs6Wo=")</f>
        <v>#REF!</v>
      </c>
      <c r="DD12" t="e">
        <f>AND(#REF!,"AAAAADcs6Ws=")</f>
        <v>#REF!</v>
      </c>
      <c r="DE12" t="e">
        <f>AND(#REF!,"AAAAADcs6Ww=")</f>
        <v>#REF!</v>
      </c>
      <c r="DF12" t="e">
        <f>IF(#REF!,"AAAAADcs6W0=",0)</f>
        <v>#REF!</v>
      </c>
      <c r="DG12" t="e">
        <f>AND(#REF!,"AAAAADcs6W4=")</f>
        <v>#REF!</v>
      </c>
      <c r="DH12" t="e">
        <f>AND(#REF!,"AAAAADcs6W8=")</f>
        <v>#REF!</v>
      </c>
      <c r="DI12" t="e">
        <f>AND(#REF!,"AAAAADcs6XA=")</f>
        <v>#REF!</v>
      </c>
      <c r="DJ12" t="e">
        <f>AND(#REF!,"AAAAADcs6XE=")</f>
        <v>#REF!</v>
      </c>
      <c r="DK12" t="e">
        <f>AND(#REF!,"AAAAADcs6XI=")</f>
        <v>#REF!</v>
      </c>
      <c r="DL12" t="e">
        <f>AND(#REF!,"AAAAADcs6XM=")</f>
        <v>#REF!</v>
      </c>
      <c r="DM12" t="e">
        <f>AND(#REF!,"AAAAADcs6XQ=")</f>
        <v>#REF!</v>
      </c>
      <c r="DN12" t="e">
        <f>AND(#REF!,"AAAAADcs6XU=")</f>
        <v>#REF!</v>
      </c>
      <c r="DO12" t="e">
        <f>AND(#REF!,"AAAAADcs6XY=")</f>
        <v>#REF!</v>
      </c>
      <c r="DP12" t="e">
        <f>IF(#REF!,"AAAAADcs6Xc=",0)</f>
        <v>#REF!</v>
      </c>
      <c r="DQ12" t="e">
        <f>AND(#REF!,"AAAAADcs6Xg=")</f>
        <v>#REF!</v>
      </c>
      <c r="DR12" t="e">
        <f>AND(#REF!,"AAAAADcs6Xk=")</f>
        <v>#REF!</v>
      </c>
      <c r="DS12" t="e">
        <f>AND(#REF!,"AAAAADcs6Xo=")</f>
        <v>#REF!</v>
      </c>
      <c r="DT12" t="e">
        <f>AND(#REF!,"AAAAADcs6Xs=")</f>
        <v>#REF!</v>
      </c>
      <c r="DU12" t="e">
        <f>AND(#REF!,"AAAAADcs6Xw=")</f>
        <v>#REF!</v>
      </c>
      <c r="DV12" t="e">
        <f>AND(#REF!,"AAAAADcs6X0=")</f>
        <v>#REF!</v>
      </c>
      <c r="DW12" t="e">
        <f>AND(#REF!,"AAAAADcs6X4=")</f>
        <v>#REF!</v>
      </c>
      <c r="DX12" t="e">
        <f>AND(#REF!,"AAAAADcs6X8=")</f>
        <v>#REF!</v>
      </c>
      <c r="DY12" t="e">
        <f>AND(#REF!,"AAAAADcs6YA=")</f>
        <v>#REF!</v>
      </c>
      <c r="DZ12" t="e">
        <f>IF(#REF!,"AAAAADcs6YE=",0)</f>
        <v>#REF!</v>
      </c>
      <c r="EA12" t="e">
        <f>AND(#REF!,"AAAAADcs6YI=")</f>
        <v>#REF!</v>
      </c>
      <c r="EB12" t="e">
        <f>AND(#REF!,"AAAAADcs6YM=")</f>
        <v>#REF!</v>
      </c>
      <c r="EC12" t="e">
        <f>AND(#REF!,"AAAAADcs6YQ=")</f>
        <v>#REF!</v>
      </c>
      <c r="ED12" t="e">
        <f>AND(#REF!,"AAAAADcs6YU=")</f>
        <v>#REF!</v>
      </c>
      <c r="EE12" t="e">
        <f>AND(#REF!,"AAAAADcs6YY=")</f>
        <v>#REF!</v>
      </c>
      <c r="EF12" t="e">
        <f>AND(#REF!,"AAAAADcs6Yc=")</f>
        <v>#REF!</v>
      </c>
      <c r="EG12" t="e">
        <f>AND(#REF!,"AAAAADcs6Yg=")</f>
        <v>#REF!</v>
      </c>
      <c r="EH12" t="e">
        <f>AND(#REF!,"AAAAADcs6Yk=")</f>
        <v>#REF!</v>
      </c>
      <c r="EI12" t="e">
        <f>AND(#REF!,"AAAAADcs6Yo=")</f>
        <v>#REF!</v>
      </c>
      <c r="EJ12" t="e">
        <f>IF(#REF!,"AAAAADcs6Ys=",0)</f>
        <v>#REF!</v>
      </c>
      <c r="EK12" t="e">
        <f>AND(#REF!,"AAAAADcs6Yw=")</f>
        <v>#REF!</v>
      </c>
      <c r="EL12" t="e">
        <f>AND(#REF!,"AAAAADcs6Y0=")</f>
        <v>#REF!</v>
      </c>
      <c r="EM12" t="e">
        <f>AND(#REF!,"AAAAADcs6Y4=")</f>
        <v>#REF!</v>
      </c>
      <c r="EN12" t="e">
        <f>AND(#REF!,"AAAAADcs6Y8=")</f>
        <v>#REF!</v>
      </c>
      <c r="EO12" t="e">
        <f>AND(#REF!,"AAAAADcs6ZA=")</f>
        <v>#REF!</v>
      </c>
      <c r="EP12" t="e">
        <f>AND(#REF!,"AAAAADcs6ZE=")</f>
        <v>#REF!</v>
      </c>
      <c r="EQ12" t="e">
        <f>AND(#REF!,"AAAAADcs6ZI=")</f>
        <v>#REF!</v>
      </c>
      <c r="ER12" t="e">
        <f>AND(#REF!,"AAAAADcs6ZM=")</f>
        <v>#REF!</v>
      </c>
      <c r="ES12" t="e">
        <f>AND(#REF!,"AAAAADcs6ZQ=")</f>
        <v>#REF!</v>
      </c>
      <c r="ET12" t="e">
        <f>IF(#REF!,"AAAAADcs6ZU=",0)</f>
        <v>#REF!</v>
      </c>
      <c r="EU12" t="e">
        <f>AND(#REF!,"AAAAADcs6ZY=")</f>
        <v>#REF!</v>
      </c>
      <c r="EV12" t="e">
        <f>AND(#REF!,"AAAAADcs6Zc=")</f>
        <v>#REF!</v>
      </c>
      <c r="EW12" t="e">
        <f>AND(#REF!,"AAAAADcs6Zg=")</f>
        <v>#REF!</v>
      </c>
      <c r="EX12" t="e">
        <f>AND(#REF!,"AAAAADcs6Zk=")</f>
        <v>#REF!</v>
      </c>
      <c r="EY12" t="e">
        <f>AND(#REF!,"AAAAADcs6Zo=")</f>
        <v>#REF!</v>
      </c>
      <c r="EZ12" t="e">
        <f>AND(#REF!,"AAAAADcs6Zs=")</f>
        <v>#REF!</v>
      </c>
      <c r="FA12" t="e">
        <f>AND(#REF!,"AAAAADcs6Zw=")</f>
        <v>#REF!</v>
      </c>
      <c r="FB12" t="e">
        <f>AND(#REF!,"AAAAADcs6Z0=")</f>
        <v>#REF!</v>
      </c>
      <c r="FC12" t="e">
        <f>AND(#REF!,"AAAAADcs6Z4=")</f>
        <v>#REF!</v>
      </c>
      <c r="FD12" t="e">
        <f>IF(#REF!,"AAAAADcs6Z8=",0)</f>
        <v>#REF!</v>
      </c>
      <c r="FE12" t="e">
        <f>AND(#REF!,"AAAAADcs6aA=")</f>
        <v>#REF!</v>
      </c>
      <c r="FF12" t="e">
        <f>AND(#REF!,"AAAAADcs6aE=")</f>
        <v>#REF!</v>
      </c>
      <c r="FG12" t="e">
        <f>AND(#REF!,"AAAAADcs6aI=")</f>
        <v>#REF!</v>
      </c>
      <c r="FH12" t="e">
        <f>AND(#REF!,"AAAAADcs6aM=")</f>
        <v>#REF!</v>
      </c>
      <c r="FI12" t="e">
        <f>AND(#REF!,"AAAAADcs6aQ=")</f>
        <v>#REF!</v>
      </c>
      <c r="FJ12" t="e">
        <f>AND(#REF!,"AAAAADcs6aU=")</f>
        <v>#REF!</v>
      </c>
      <c r="FK12" t="e">
        <f>AND(#REF!,"AAAAADcs6aY=")</f>
        <v>#REF!</v>
      </c>
      <c r="FL12" t="e">
        <f>AND(#REF!,"AAAAADcs6ac=")</f>
        <v>#REF!</v>
      </c>
      <c r="FM12" t="e">
        <f>AND(#REF!,"AAAAADcs6ag=")</f>
        <v>#REF!</v>
      </c>
      <c r="FN12" t="e">
        <f>IF(#REF!,"AAAAADcs6ak=",0)</f>
        <v>#REF!</v>
      </c>
      <c r="FO12" t="e">
        <f>AND(#REF!,"AAAAADcs6ao=")</f>
        <v>#REF!</v>
      </c>
      <c r="FP12" t="e">
        <f>AND(#REF!,"AAAAADcs6as=")</f>
        <v>#REF!</v>
      </c>
      <c r="FQ12" t="e">
        <f>AND(#REF!,"AAAAADcs6aw=")</f>
        <v>#REF!</v>
      </c>
      <c r="FR12" t="e">
        <f>AND(#REF!,"AAAAADcs6a0=")</f>
        <v>#REF!</v>
      </c>
      <c r="FS12" t="e">
        <f>AND(#REF!,"AAAAADcs6a4=")</f>
        <v>#REF!</v>
      </c>
      <c r="FT12" t="e">
        <f>AND(#REF!,"AAAAADcs6a8=")</f>
        <v>#REF!</v>
      </c>
      <c r="FU12" t="e">
        <f>AND(#REF!,"AAAAADcs6bA=")</f>
        <v>#REF!</v>
      </c>
      <c r="FV12" t="e">
        <f>AND(#REF!,"AAAAADcs6bE=")</f>
        <v>#REF!</v>
      </c>
      <c r="FW12" t="e">
        <f>AND(#REF!,"AAAAADcs6bI=")</f>
        <v>#REF!</v>
      </c>
      <c r="FX12" t="e">
        <f>IF(#REF!,"AAAAADcs6bM=",0)</f>
        <v>#REF!</v>
      </c>
      <c r="FY12" t="e">
        <f>AND(#REF!,"AAAAADcs6bQ=")</f>
        <v>#REF!</v>
      </c>
      <c r="FZ12" t="e">
        <f>AND(#REF!,"AAAAADcs6bU=")</f>
        <v>#REF!</v>
      </c>
      <c r="GA12" t="e">
        <f>AND(#REF!,"AAAAADcs6bY=")</f>
        <v>#REF!</v>
      </c>
      <c r="GB12" t="e">
        <f>AND(#REF!,"AAAAADcs6bc=")</f>
        <v>#REF!</v>
      </c>
      <c r="GC12" t="e">
        <f>AND(#REF!,"AAAAADcs6bg=")</f>
        <v>#REF!</v>
      </c>
      <c r="GD12" t="e">
        <f>AND(#REF!,"AAAAADcs6bk=")</f>
        <v>#REF!</v>
      </c>
      <c r="GE12" t="e">
        <f>AND(#REF!,"AAAAADcs6bo=")</f>
        <v>#REF!</v>
      </c>
      <c r="GF12" t="e">
        <f>AND(#REF!,"AAAAADcs6bs=")</f>
        <v>#REF!</v>
      </c>
      <c r="GG12" t="e">
        <f>AND(#REF!,"AAAAADcs6bw=")</f>
        <v>#REF!</v>
      </c>
      <c r="GH12" t="e">
        <f>IF(#REF!,"AAAAADcs6b0=",0)</f>
        <v>#REF!</v>
      </c>
      <c r="GI12" t="e">
        <f>AND(#REF!,"AAAAADcs6b4=")</f>
        <v>#REF!</v>
      </c>
      <c r="GJ12" t="e">
        <f>AND(#REF!,"AAAAADcs6b8=")</f>
        <v>#REF!</v>
      </c>
      <c r="GK12" t="e">
        <f>AND(#REF!,"AAAAADcs6cA=")</f>
        <v>#REF!</v>
      </c>
      <c r="GL12" t="e">
        <f>AND(#REF!,"AAAAADcs6cE=")</f>
        <v>#REF!</v>
      </c>
      <c r="GM12" t="e">
        <f>AND(#REF!,"AAAAADcs6cI=")</f>
        <v>#REF!</v>
      </c>
      <c r="GN12" t="e">
        <f>AND(#REF!,"AAAAADcs6cM=")</f>
        <v>#REF!</v>
      </c>
      <c r="GO12" t="e">
        <f>AND(#REF!,"AAAAADcs6cQ=")</f>
        <v>#REF!</v>
      </c>
      <c r="GP12" t="e">
        <f>AND(#REF!,"AAAAADcs6cU=")</f>
        <v>#REF!</v>
      </c>
      <c r="GQ12" t="e">
        <f>AND(#REF!,"AAAAADcs6cY=")</f>
        <v>#REF!</v>
      </c>
      <c r="GR12" t="e">
        <f>IF(#REF!,"AAAAADcs6cc=",0)</f>
        <v>#REF!</v>
      </c>
      <c r="GS12" t="e">
        <f>AND(#REF!,"AAAAADcs6cg=")</f>
        <v>#REF!</v>
      </c>
      <c r="GT12" t="e">
        <f>AND(#REF!,"AAAAADcs6ck=")</f>
        <v>#REF!</v>
      </c>
      <c r="GU12" t="e">
        <f>AND(#REF!,"AAAAADcs6co=")</f>
        <v>#REF!</v>
      </c>
      <c r="GV12" t="e">
        <f>AND(#REF!,"AAAAADcs6cs=")</f>
        <v>#REF!</v>
      </c>
      <c r="GW12" t="e">
        <f>AND(#REF!,"AAAAADcs6cw=")</f>
        <v>#REF!</v>
      </c>
      <c r="GX12" t="e">
        <f>AND(#REF!,"AAAAADcs6c0=")</f>
        <v>#REF!</v>
      </c>
      <c r="GY12" t="e">
        <f>AND(#REF!,"AAAAADcs6c4=")</f>
        <v>#REF!</v>
      </c>
      <c r="GZ12" t="e">
        <f>AND(#REF!,"AAAAADcs6c8=")</f>
        <v>#REF!</v>
      </c>
      <c r="HA12" t="e">
        <f>AND(#REF!,"AAAAADcs6dA=")</f>
        <v>#REF!</v>
      </c>
      <c r="HB12" t="e">
        <f>IF(#REF!,"AAAAADcs6dE=",0)</f>
        <v>#REF!</v>
      </c>
      <c r="HC12" t="e">
        <f>AND(#REF!,"AAAAADcs6dI=")</f>
        <v>#REF!</v>
      </c>
      <c r="HD12" t="e">
        <f>AND(#REF!,"AAAAADcs6dM=")</f>
        <v>#REF!</v>
      </c>
      <c r="HE12" t="e">
        <f>AND(#REF!,"AAAAADcs6dQ=")</f>
        <v>#REF!</v>
      </c>
      <c r="HF12" t="e">
        <f>AND(#REF!,"AAAAADcs6dU=")</f>
        <v>#REF!</v>
      </c>
      <c r="HG12" t="e">
        <f>AND(#REF!,"AAAAADcs6dY=")</f>
        <v>#REF!</v>
      </c>
      <c r="HH12" t="e">
        <f>AND(#REF!,"AAAAADcs6dc=")</f>
        <v>#REF!</v>
      </c>
      <c r="HI12" t="e">
        <f>AND(#REF!,"AAAAADcs6dg=")</f>
        <v>#REF!</v>
      </c>
      <c r="HJ12" t="e">
        <f>AND(#REF!,"AAAAADcs6dk=")</f>
        <v>#REF!</v>
      </c>
      <c r="HK12" t="e">
        <f>AND(#REF!,"AAAAADcs6do=")</f>
        <v>#REF!</v>
      </c>
      <c r="HL12" t="e">
        <f>IF(#REF!,"AAAAADcs6ds=",0)</f>
        <v>#REF!</v>
      </c>
      <c r="HM12" t="e">
        <f>IF(#REF!,"AAAAADcs6dw=",0)</f>
        <v>#REF!</v>
      </c>
      <c r="HN12" t="e">
        <f>IF(#REF!,"AAAAADcs6d0=",0)</f>
        <v>#REF!</v>
      </c>
      <c r="HO12" t="e">
        <f>IF(#REF!,"AAAAADcs6d4=",0)</f>
        <v>#REF!</v>
      </c>
      <c r="HP12" t="e">
        <f>IF(#REF!,"AAAAADcs6d8=",0)</f>
        <v>#REF!</v>
      </c>
      <c r="HQ12" t="e">
        <f>IF(#REF!,"AAAAADcs6eA=",0)</f>
        <v>#REF!</v>
      </c>
      <c r="HR12" t="e">
        <f>IF(#REF!,"AAAAADcs6eE=",0)</f>
        <v>#REF!</v>
      </c>
      <c r="HS12" t="e">
        <f>IF(#REF!,"AAAAADcs6eI=",0)</f>
        <v>#REF!</v>
      </c>
      <c r="HT12" t="e">
        <f>IF(#REF!,"AAAAADcs6eM=",0)</f>
        <v>#REF!</v>
      </c>
      <c r="HU12" t="e">
        <f>IF(#REF!,"AAAAADcs6eQ=",0)</f>
        <v>#REF!</v>
      </c>
      <c r="HV12" t="e">
        <f>IF(#REF!,"AAAAADcs6eU=",0)</f>
        <v>#REF!</v>
      </c>
      <c r="HW12" t="e">
        <f>IF(#REF!,"AAAAADcs6eY=",0)</f>
        <v>#REF!</v>
      </c>
      <c r="HX12" t="e">
        <f>IF(#REF!,"AAAAADcs6ec=",0)</f>
        <v>#REF!</v>
      </c>
      <c r="HY12" t="e">
        <f>IF(#REF!,"AAAAADcs6eg=",0)</f>
        <v>#REF!</v>
      </c>
      <c r="HZ12" t="e">
        <f>IF(#REF!,"AAAAADcs6ek=",0)</f>
        <v>#REF!</v>
      </c>
      <c r="IA12" t="e">
        <f>IF(#REF!,"AAAAADcs6eo=",0)</f>
        <v>#REF!</v>
      </c>
      <c r="IB12" t="e">
        <f>IF(#REF!,"AAAAADcs6es=",0)</f>
        <v>#REF!</v>
      </c>
      <c r="IC12" t="e">
        <f>IF(#REF!,"AAAAADcs6ew=",0)</f>
        <v>#REF!</v>
      </c>
      <c r="ID12" t="e">
        <f>IF(#REF!,"AAAAADcs6e0=",0)</f>
        <v>#REF!</v>
      </c>
      <c r="IE12" t="e">
        <f>IF(#REF!,"AAAAADcs6e4=",0)</f>
        <v>#REF!</v>
      </c>
      <c r="IF12" t="e">
        <f>IF(#REF!,"AAAAADcs6e8=",0)</f>
        <v>#REF!</v>
      </c>
      <c r="IG12" t="e">
        <f>IF(#REF!,"AAAAADcs6fA=",0)</f>
        <v>#REF!</v>
      </c>
      <c r="IH12" t="e">
        <f>IF(#REF!,"AAAAADcs6fE=",0)</f>
        <v>#REF!</v>
      </c>
      <c r="II12" t="e">
        <f>IF(#REF!,"AAAAADcs6fI=",0)</f>
        <v>#REF!</v>
      </c>
      <c r="IJ12" t="e">
        <f>IF(#REF!,"AAAAADcs6fM=",0)</f>
        <v>#REF!</v>
      </c>
      <c r="IK12" t="e">
        <f>IF(#REF!,"AAAAADcs6fQ=",0)</f>
        <v>#REF!</v>
      </c>
      <c r="IL12" t="e">
        <f>IF(#REF!,"AAAAADcs6fU=",0)</f>
        <v>#REF!</v>
      </c>
      <c r="IM12" t="e">
        <f>IF(#REF!,"AAAAADcs6fY=",0)</f>
        <v>#REF!</v>
      </c>
      <c r="IN12" t="e">
        <f>IF(#REF!,"AAAAADcs6fc=",0)</f>
        <v>#REF!</v>
      </c>
      <c r="IO12" t="e">
        <f>IF(#REF!,"AAAAADcs6fg=",0)</f>
        <v>#REF!</v>
      </c>
      <c r="IP12" t="e">
        <f>IF(#REF!,"AAAAADcs6fk=",0)</f>
        <v>#REF!</v>
      </c>
      <c r="IQ12" t="e">
        <f>IF(#REF!,"AAAAADcs6fo=",0)</f>
        <v>#REF!</v>
      </c>
      <c r="IR12" t="e">
        <f>IF(#REF!,"AAAAADcs6fs=",0)</f>
        <v>#REF!</v>
      </c>
      <c r="IS12" t="e">
        <f>IF(#REF!,"AAAAADcs6fw=",0)</f>
        <v>#REF!</v>
      </c>
      <c r="IT12" t="e">
        <f>IF(#REF!,"AAAAADcs6f0=",0)</f>
        <v>#REF!</v>
      </c>
      <c r="IU12" t="e">
        <f>IF(#REF!,"AAAAADcs6f4=",0)</f>
        <v>#REF!</v>
      </c>
      <c r="IV12" t="e">
        <f>IF(#REF!,"AAAAADcs6f8=",0)</f>
        <v>#REF!</v>
      </c>
    </row>
    <row r="13" spans="1:32" ht="15">
      <c r="A13" t="e">
        <f>IF(#REF!,"AAAAAFb+fAA=",0)</f>
        <v>#REF!</v>
      </c>
      <c r="B13" t="e">
        <f>IF(#REF!,"AAAAAFb+fAE=",0)</f>
        <v>#REF!</v>
      </c>
      <c r="C13" t="e">
        <f>IF(#REF!,"AAAAAFb+fAI=",0)</f>
        <v>#REF!</v>
      </c>
      <c r="D13" t="e">
        <f>IF(#REF!,"AAAAAFb+fAM=",0)</f>
        <v>#REF!</v>
      </c>
      <c r="E13" t="e">
        <f>IF(#REF!,"AAAAAFb+fAQ=",0)</f>
        <v>#REF!</v>
      </c>
      <c r="F13" t="e">
        <f>IF(#REF!,"AAAAAFb+fAU=",0)</f>
        <v>#REF!</v>
      </c>
      <c r="G13" t="e">
        <f>IF(#REF!,"AAAAAFb+fAY=",0)</f>
        <v>#REF!</v>
      </c>
      <c r="H13" t="e">
        <f>IF(#REF!,"AAAAAFb+fAc=",0)</f>
        <v>#REF!</v>
      </c>
      <c r="I13" t="e">
        <f>IF(#REF!,"AAAAAFb+fAg=",0)</f>
        <v>#REF!</v>
      </c>
      <c r="J13" t="e">
        <f>IF(#REF!,"AAAAAFb+fAk=",0)</f>
        <v>#REF!</v>
      </c>
      <c r="K13" t="e">
        <f>IF(#REF!,"AAAAAFb+fAo=",0)</f>
        <v>#REF!</v>
      </c>
      <c r="L13" t="e">
        <f>IF(#REF!,"AAAAAFb+fAs=",0)</f>
        <v>#REF!</v>
      </c>
      <c r="M13" t="e">
        <f>IF(#REF!,"AAAAAFb+fAw=",0)</f>
        <v>#REF!</v>
      </c>
      <c r="N13" t="e">
        <f>IF(#REF!,"AAAAAFb+fA0=",0)</f>
        <v>#REF!</v>
      </c>
      <c r="O13" t="e">
        <f>IF(#REF!,"AAAAAFb+fA4=",0)</f>
        <v>#REF!</v>
      </c>
      <c r="P13" t="e">
        <f>IF(#REF!,"AAAAAFb+fA8=",0)</f>
        <v>#REF!</v>
      </c>
      <c r="Q13" t="e">
        <f>IF(#REF!,"AAAAAFb+fBA=",0)</f>
        <v>#REF!</v>
      </c>
      <c r="R13" t="e">
        <f>IF(#REF!,"AAAAAFb+fBE=",0)</f>
        <v>#REF!</v>
      </c>
      <c r="S13" t="e">
        <f>IF(#REF!,"AAAAAFb+fBI=",0)</f>
        <v>#REF!</v>
      </c>
      <c r="T13" t="e">
        <f>IF(#REF!,"AAAAAFb+fBM=",0)</f>
        <v>#REF!</v>
      </c>
      <c r="U13" t="e">
        <f>IF(#REF!,"AAAAAFb+fBQ=",0)</f>
        <v>#REF!</v>
      </c>
      <c r="V13" t="e">
        <f>IF(#REF!,"AAAAAFb+fBU=",0)</f>
        <v>#REF!</v>
      </c>
      <c r="W13" t="e">
        <f>IF(#REF!,"AAAAAFb+fBY=",0)</f>
        <v>#REF!</v>
      </c>
      <c r="X13" t="e">
        <f>IF(#REF!,"AAAAAFb+fBc=",0)</f>
        <v>#REF!</v>
      </c>
      <c r="Y13" t="e">
        <f>IF(#REF!,"AAAAAFb+fBg=",0)</f>
        <v>#REF!</v>
      </c>
      <c r="Z13" t="e">
        <f>IF(#REF!,"AAAAAFb+fBk=",0)</f>
        <v>#REF!</v>
      </c>
      <c r="AA13" t="e">
        <f>IF(#REF!,"AAAAAFb+fBo=",0)</f>
        <v>#REF!</v>
      </c>
      <c r="AB13" t="e">
        <f>IF(#REF!,"AAAAAFb+fBs=",0)</f>
        <v>#REF!</v>
      </c>
      <c r="AC13" t="e">
        <f>IF(#REF!,"AAAAAFb+fBw=",0)</f>
        <v>#REF!</v>
      </c>
      <c r="AD13" t="e">
        <f>IF(#REF!,"AAAAAFb+fB0=",0)</f>
        <v>#REF!</v>
      </c>
      <c r="AE13" t="e">
        <f>IF(#REF!,"AAAAAFb+fB4=",0)</f>
        <v>#REF!</v>
      </c>
      <c r="AF13" t="e">
        <f>IF(#REF!,"AAAAAFb+fB8=",0)</f>
        <v>#REF!</v>
      </c>
    </row>
    <row r="14" spans="1:6" ht="15">
      <c r="A14" t="e">
        <f>IF(Sheet1!2:2,"AAAAADVz+wA=",0)</f>
        <v>#VALUE!</v>
      </c>
      <c r="B14" t="e">
        <f>AND(Sheet1!A2,"AAAAADVz+wE=")</f>
        <v>#VALUE!</v>
      </c>
      <c r="C14" t="e">
        <f>AND(Sheet1!B2,"AAAAADVz+wI=")</f>
        <v>#VALUE!</v>
      </c>
      <c r="D14" t="e">
        <f>AND(Sheet1!C2,"AAAAADVz+wM=")</f>
        <v>#VALUE!</v>
      </c>
      <c r="E14" t="e">
        <f>AND(Sheet1!D2,"AAAAADVz+wQ=")</f>
        <v>#VALUE!</v>
      </c>
      <c r="F14" t="e">
        <f>AND(Sheet1!E2,"AAAAADVz+wU=")</f>
        <v>#VALUE!</v>
      </c>
    </row>
    <row r="15" ht="15">
      <c r="A15" s="18" t="s">
        <v>317</v>
      </c>
    </row>
    <row r="16" spans="1:194" ht="15">
      <c r="A16" t="e">
        <f>AND(Sheet1!F1,"AAAAAFV8vgA=")</f>
        <v>#VALUE!</v>
      </c>
      <c r="B16" t="e">
        <f>AND(Sheet1!F2,"AAAAAFV8vgE=")</f>
        <v>#VALUE!</v>
      </c>
      <c r="C16" t="e">
        <f>AND(Sheet1!F3,"AAAAAFV8vgI=")</f>
        <v>#VALUE!</v>
      </c>
      <c r="D16" t="e">
        <f>AND(Sheet1!F4,"AAAAAFV8vgM=")</f>
        <v>#VALUE!</v>
      </c>
      <c r="E16" t="e">
        <f>AND(Sheet1!F5,"AAAAAFV8vgQ=")</f>
        <v>#VALUE!</v>
      </c>
      <c r="F16" t="e">
        <f>AND(Sheet1!F6,"AAAAAFV8vgU=")</f>
        <v>#VALUE!</v>
      </c>
      <c r="G16" t="e">
        <f>AND(Sheet1!F7,"AAAAAFV8vgY=")</f>
        <v>#VALUE!</v>
      </c>
      <c r="H16" t="e">
        <f>AND(Sheet1!F8,"AAAAAFV8vgc=")</f>
        <v>#VALUE!</v>
      </c>
      <c r="I16" t="e">
        <f>AND(Sheet1!F9,"AAAAAFV8vgg=")</f>
        <v>#VALUE!</v>
      </c>
      <c r="J16" t="e">
        <f>AND(Sheet1!F10,"AAAAAFV8vgk=")</f>
        <v>#VALUE!</v>
      </c>
      <c r="K16" t="e">
        <f>AND(Sheet1!F11,"AAAAAFV8vgo=")</f>
        <v>#VALUE!</v>
      </c>
      <c r="L16" t="e">
        <f>AND(Sheet1!F12,"AAAAAFV8vgs=")</f>
        <v>#VALUE!</v>
      </c>
      <c r="M16" t="e">
        <f>AND(Sheet1!F13,"AAAAAFV8vgw=")</f>
        <v>#VALUE!</v>
      </c>
      <c r="N16" t="e">
        <f>AND(Sheet1!F14,"AAAAAFV8vg0=")</f>
        <v>#VALUE!</v>
      </c>
      <c r="O16" t="e">
        <f>AND(Sheet1!F15,"AAAAAFV8vg4=")</f>
        <v>#VALUE!</v>
      </c>
      <c r="P16" t="e">
        <f>AND(Sheet1!F16,"AAAAAFV8vg8=")</f>
        <v>#VALUE!</v>
      </c>
      <c r="Q16" t="e">
        <f>AND(Sheet1!F17,"AAAAAFV8vhA=")</f>
        <v>#VALUE!</v>
      </c>
      <c r="R16" t="e">
        <f>AND(Sheet1!F18,"AAAAAFV8vhE=")</f>
        <v>#VALUE!</v>
      </c>
      <c r="S16" t="e">
        <f>AND(Sheet1!F19,"AAAAAFV8vhI=")</f>
        <v>#VALUE!</v>
      </c>
      <c r="T16" t="e">
        <f>AND(Sheet1!F20,"AAAAAFV8vhM=")</f>
        <v>#VALUE!</v>
      </c>
      <c r="U16" t="e">
        <f>AND(Sheet1!F21,"AAAAAFV8vhQ=")</f>
        <v>#VALUE!</v>
      </c>
      <c r="V16" t="e">
        <f>AND(Sheet1!F22,"AAAAAFV8vhU=")</f>
        <v>#VALUE!</v>
      </c>
      <c r="W16" t="e">
        <f>AND(Sheet1!F23,"AAAAAFV8vhY=")</f>
        <v>#VALUE!</v>
      </c>
      <c r="X16" t="e">
        <f>AND(Sheet1!F24,"AAAAAFV8vhc=")</f>
        <v>#VALUE!</v>
      </c>
      <c r="Y16" t="e">
        <f>AND(Sheet1!F25,"AAAAAFV8vhg=")</f>
        <v>#VALUE!</v>
      </c>
      <c r="Z16" t="e">
        <f>AND(Sheet1!F26,"AAAAAFV8vhk=")</f>
        <v>#VALUE!</v>
      </c>
      <c r="AA16" t="e">
        <f>AND(Sheet1!F27,"AAAAAFV8vho=")</f>
        <v>#VALUE!</v>
      </c>
      <c r="AB16" t="e">
        <f>AND(Sheet1!F28,"AAAAAFV8vhs=")</f>
        <v>#VALUE!</v>
      </c>
      <c r="AC16" t="e">
        <f>AND(Sheet1!F29,"AAAAAFV8vhw=")</f>
        <v>#VALUE!</v>
      </c>
      <c r="AD16" t="e">
        <f>AND(Sheet1!F30,"AAAAAFV8vh0=")</f>
        <v>#VALUE!</v>
      </c>
      <c r="AE16" t="e">
        <f>AND(Sheet1!F31,"AAAAAFV8vh4=")</f>
        <v>#VALUE!</v>
      </c>
      <c r="AF16" t="e">
        <f>AND(Sheet1!F32,"AAAAAFV8vh8=")</f>
        <v>#VALUE!</v>
      </c>
      <c r="AG16" t="e">
        <f>AND(Sheet1!F33,"AAAAAFV8viA=")</f>
        <v>#VALUE!</v>
      </c>
      <c r="AH16" t="e">
        <f>AND(Sheet1!F34,"AAAAAFV8viE=")</f>
        <v>#VALUE!</v>
      </c>
      <c r="AI16" t="e">
        <f>AND(Sheet1!F35,"AAAAAFV8viI=")</f>
        <v>#VALUE!</v>
      </c>
      <c r="AJ16" t="e">
        <f>AND(Sheet1!F36,"AAAAAFV8viM=")</f>
        <v>#VALUE!</v>
      </c>
      <c r="AK16" t="e">
        <f>AND(Sheet1!F37,"AAAAAFV8viQ=")</f>
        <v>#VALUE!</v>
      </c>
      <c r="AL16" t="e">
        <f>AND(Sheet1!F38,"AAAAAFV8viU=")</f>
        <v>#VALUE!</v>
      </c>
      <c r="AM16" t="e">
        <f>AND(Sheet1!F39,"AAAAAFV8viY=")</f>
        <v>#VALUE!</v>
      </c>
      <c r="AN16" t="e">
        <f>AND(Sheet1!F40,"AAAAAFV8vic=")</f>
        <v>#VALUE!</v>
      </c>
      <c r="AO16" t="e">
        <f>AND(Sheet1!F41,"AAAAAFV8vig=")</f>
        <v>#VALUE!</v>
      </c>
      <c r="AP16" t="e">
        <f>AND(Sheet1!F42,"AAAAAFV8vik=")</f>
        <v>#VALUE!</v>
      </c>
      <c r="AQ16" t="e">
        <f>AND(Sheet1!F43,"AAAAAFV8vio=")</f>
        <v>#VALUE!</v>
      </c>
      <c r="AR16" t="e">
        <f>AND(Sheet1!F44,"AAAAAFV8vis=")</f>
        <v>#VALUE!</v>
      </c>
      <c r="AS16" t="e">
        <f>AND(Sheet1!F45,"AAAAAFV8viw=")</f>
        <v>#VALUE!</v>
      </c>
      <c r="AT16" t="e">
        <f>AND(Sheet1!F46,"AAAAAFV8vi0=")</f>
        <v>#VALUE!</v>
      </c>
      <c r="AU16" t="e">
        <f>AND(Sheet1!F47,"AAAAAFV8vi4=")</f>
        <v>#VALUE!</v>
      </c>
      <c r="AV16" t="e">
        <f>AND(Sheet1!F48,"AAAAAFV8vi8=")</f>
        <v>#VALUE!</v>
      </c>
      <c r="AW16" t="e">
        <f>AND(Sheet1!F49,"AAAAAFV8vjA=")</f>
        <v>#VALUE!</v>
      </c>
      <c r="AX16" t="e">
        <f>AND(Sheet1!F50,"AAAAAFV8vjE=")</f>
        <v>#VALUE!</v>
      </c>
      <c r="AY16" t="e">
        <f>AND(Sheet1!F51,"AAAAAFV8vjI=")</f>
        <v>#VALUE!</v>
      </c>
      <c r="AZ16" t="e">
        <f>AND(Sheet1!F52,"AAAAAFV8vjM=")</f>
        <v>#VALUE!</v>
      </c>
      <c r="BA16" t="e">
        <f>AND(Sheet1!F53,"AAAAAFV8vjQ=")</f>
        <v>#VALUE!</v>
      </c>
      <c r="BB16" t="e">
        <f>AND(Sheet1!F54,"AAAAAFV8vjU=")</f>
        <v>#VALUE!</v>
      </c>
      <c r="BC16" t="e">
        <f>AND(Sheet1!F55,"AAAAAFV8vjY=")</f>
        <v>#VALUE!</v>
      </c>
      <c r="BD16" t="e">
        <f>AND(Sheet1!F56,"AAAAAFV8vjc=")</f>
        <v>#VALUE!</v>
      </c>
      <c r="BE16" t="e">
        <f>AND(Sheet1!F57,"AAAAAFV8vjg=")</f>
        <v>#VALUE!</v>
      </c>
      <c r="BF16" t="e">
        <f>AND(Sheet1!F58,"AAAAAFV8vjk=")</f>
        <v>#VALUE!</v>
      </c>
      <c r="BG16" t="e">
        <f>AND(Sheet1!F59,"AAAAAFV8vjo=")</f>
        <v>#VALUE!</v>
      </c>
      <c r="BH16" t="e">
        <f>AND(Sheet1!F60,"AAAAAFV8vjs=")</f>
        <v>#VALUE!</v>
      </c>
      <c r="BI16" t="e">
        <f>AND(Sheet1!F61,"AAAAAFV8vjw=")</f>
        <v>#VALUE!</v>
      </c>
      <c r="BJ16" t="e">
        <f>AND(Sheet1!F62,"AAAAAFV8vj0=")</f>
        <v>#VALUE!</v>
      </c>
      <c r="BK16" t="e">
        <f>AND(Sheet1!F63,"AAAAAFV8vj4=")</f>
        <v>#VALUE!</v>
      </c>
      <c r="BL16" t="e">
        <f>AND(Sheet1!F64,"AAAAAFV8vj8=")</f>
        <v>#VALUE!</v>
      </c>
      <c r="BM16" t="e">
        <f>AND(Sheet1!F65,"AAAAAFV8vkA=")</f>
        <v>#VALUE!</v>
      </c>
      <c r="BN16" t="e">
        <f>AND(Sheet1!F66,"AAAAAFV8vkE=")</f>
        <v>#VALUE!</v>
      </c>
      <c r="BO16" t="e">
        <f>AND(Sheet1!F67,"AAAAAFV8vkI=")</f>
        <v>#VALUE!</v>
      </c>
      <c r="BP16" t="e">
        <f>AND(Sheet1!F68,"AAAAAFV8vkM=")</f>
        <v>#VALUE!</v>
      </c>
      <c r="BQ16" t="e">
        <f>AND(Sheet1!F69,"AAAAAFV8vkQ=")</f>
        <v>#VALUE!</v>
      </c>
      <c r="BR16" t="e">
        <f>AND(Sheet1!F70,"AAAAAFV8vkU=")</f>
        <v>#VALUE!</v>
      </c>
      <c r="BS16" t="e">
        <f>AND(Sheet1!F71,"AAAAAFV8vkY=")</f>
        <v>#VALUE!</v>
      </c>
      <c r="BT16" t="e">
        <f>AND(Sheet1!F72,"AAAAAFV8vkc=")</f>
        <v>#VALUE!</v>
      </c>
      <c r="BU16" t="e">
        <f>AND(Sheet1!F73,"AAAAAFV8vkg=")</f>
        <v>#VALUE!</v>
      </c>
      <c r="BV16" t="e">
        <f>AND(Sheet1!F74,"AAAAAFV8vkk=")</f>
        <v>#VALUE!</v>
      </c>
      <c r="BW16" t="e">
        <f>AND(Sheet1!F75,"AAAAAFV8vko=")</f>
        <v>#VALUE!</v>
      </c>
      <c r="BX16" t="e">
        <f>AND(Sheet1!F76,"AAAAAFV8vks=")</f>
        <v>#VALUE!</v>
      </c>
      <c r="BY16" t="e">
        <f>AND(Sheet1!F77,"AAAAAFV8vkw=")</f>
        <v>#VALUE!</v>
      </c>
      <c r="BZ16" t="e">
        <f>AND(Sheet1!F78,"AAAAAFV8vk0=")</f>
        <v>#VALUE!</v>
      </c>
      <c r="CA16" t="e">
        <f>AND(Sheet1!F79,"AAAAAFV8vk4=")</f>
        <v>#VALUE!</v>
      </c>
      <c r="CB16" t="e">
        <f>AND(Sheet1!F80,"AAAAAFV8vk8=")</f>
        <v>#VALUE!</v>
      </c>
      <c r="CC16" t="e">
        <f>AND(Sheet1!F81,"AAAAAFV8vlA=")</f>
        <v>#VALUE!</v>
      </c>
      <c r="CD16" t="e">
        <f>AND(Sheet1!F82,"AAAAAFV8vlE=")</f>
        <v>#VALUE!</v>
      </c>
      <c r="CE16" t="e">
        <f>AND(Sheet1!F83,"AAAAAFV8vlI=")</f>
        <v>#VALUE!</v>
      </c>
      <c r="CF16" t="e">
        <f>AND(Sheet1!F84,"AAAAAFV8vlM=")</f>
        <v>#VALUE!</v>
      </c>
      <c r="CG16" t="e">
        <f>AND(Sheet1!F85,"AAAAAFV8vlQ=")</f>
        <v>#VALUE!</v>
      </c>
      <c r="CH16" t="e">
        <f>AND(Sheet1!F86,"AAAAAFV8vlU=")</f>
        <v>#VALUE!</v>
      </c>
      <c r="CI16" t="e">
        <f>AND(Sheet1!F87,"AAAAAFV8vlY=")</f>
        <v>#VALUE!</v>
      </c>
      <c r="CJ16" t="e">
        <f>AND(Sheet1!F88,"AAAAAFV8vlc=")</f>
        <v>#VALUE!</v>
      </c>
      <c r="CK16" t="e">
        <f>AND(Sheet1!F89,"AAAAAFV8vlg=")</f>
        <v>#VALUE!</v>
      </c>
      <c r="CL16" t="e">
        <f>AND(Sheet1!F90,"AAAAAFV8vlk=")</f>
        <v>#VALUE!</v>
      </c>
      <c r="CM16" t="e">
        <f>AND(Sheet1!F91,"AAAAAFV8vlo=")</f>
        <v>#VALUE!</v>
      </c>
      <c r="CN16" t="e">
        <f>AND(Sheet1!F92,"AAAAAFV8vls=")</f>
        <v>#VALUE!</v>
      </c>
      <c r="CO16" t="e">
        <f>AND(Sheet1!F93,"AAAAAFV8vlw=")</f>
        <v>#VALUE!</v>
      </c>
      <c r="CP16" t="e">
        <f>AND(Sheet1!F94,"AAAAAFV8vl0=")</f>
        <v>#VALUE!</v>
      </c>
      <c r="CQ16" t="e">
        <f>AND(Sheet1!F95,"AAAAAFV8vl4=")</f>
        <v>#VALUE!</v>
      </c>
      <c r="CR16" t="e">
        <f>AND(Sheet1!F96,"AAAAAFV8vl8=")</f>
        <v>#VALUE!</v>
      </c>
      <c r="CS16" t="e">
        <f>AND(Sheet1!F97,"AAAAAFV8vmA=")</f>
        <v>#VALUE!</v>
      </c>
      <c r="CT16" t="e">
        <f>AND(Sheet1!F98,"AAAAAFV8vmE=")</f>
        <v>#VALUE!</v>
      </c>
      <c r="CU16" t="e">
        <f>AND(Sheet1!F99,"AAAAAFV8vmI=")</f>
        <v>#VALUE!</v>
      </c>
      <c r="CV16" t="e">
        <f>AND(Sheet1!F100,"AAAAAFV8vmM=")</f>
        <v>#VALUE!</v>
      </c>
      <c r="CW16" t="e">
        <f>AND(Sheet1!F101,"AAAAAFV8vmQ=")</f>
        <v>#VALUE!</v>
      </c>
      <c r="CX16" t="e">
        <f>AND(Sheet1!F102,"AAAAAFV8vmU=")</f>
        <v>#VALUE!</v>
      </c>
      <c r="CY16" t="e">
        <f>AND(Sheet1!F103,"AAAAAFV8vmY=")</f>
        <v>#VALUE!</v>
      </c>
      <c r="CZ16" t="e">
        <f>AND(Sheet1!F104,"AAAAAFV8vmc=")</f>
        <v>#VALUE!</v>
      </c>
      <c r="DA16" t="e">
        <f>AND(Sheet1!F105,"AAAAAFV8vmg=")</f>
        <v>#VALUE!</v>
      </c>
      <c r="DB16" t="e">
        <f>AND(Sheet1!F106,"AAAAAFV8vmk=")</f>
        <v>#VALUE!</v>
      </c>
      <c r="DC16" t="e">
        <f>AND(Sheet1!F107,"AAAAAFV8vmo=")</f>
        <v>#VALUE!</v>
      </c>
      <c r="DD16" t="e">
        <f>AND(Sheet1!F108,"AAAAAFV8vms=")</f>
        <v>#VALUE!</v>
      </c>
      <c r="DE16" t="e">
        <f>AND(Sheet1!F109,"AAAAAFV8vmw=")</f>
        <v>#VALUE!</v>
      </c>
      <c r="DF16" t="e">
        <f>AND(Sheet1!F110,"AAAAAFV8vm0=")</f>
        <v>#VALUE!</v>
      </c>
      <c r="DG16" t="e">
        <f>AND(Sheet1!F111,"AAAAAFV8vm4=")</f>
        <v>#VALUE!</v>
      </c>
      <c r="DH16" t="e">
        <f>AND(Sheet1!F112,"AAAAAFV8vm8=")</f>
        <v>#VALUE!</v>
      </c>
      <c r="DI16" t="e">
        <f>AND(Sheet1!F113,"AAAAAFV8vnA=")</f>
        <v>#VALUE!</v>
      </c>
      <c r="DJ16" t="e">
        <f>AND(Sheet1!F114,"AAAAAFV8vnE=")</f>
        <v>#VALUE!</v>
      </c>
      <c r="DK16" t="e">
        <f>AND(Sheet1!F115,"AAAAAFV8vnI=")</f>
        <v>#VALUE!</v>
      </c>
      <c r="DL16" t="e">
        <f>AND(Sheet1!F116,"AAAAAFV8vnM=")</f>
        <v>#VALUE!</v>
      </c>
      <c r="DM16" t="e">
        <f>AND(Sheet1!F117,"AAAAAFV8vnQ=")</f>
        <v>#VALUE!</v>
      </c>
      <c r="DN16" t="e">
        <f>AND(Sheet1!F118,"AAAAAFV8vnU=")</f>
        <v>#VALUE!</v>
      </c>
      <c r="DO16" t="e">
        <f>AND(Sheet1!F119,"AAAAAFV8vnY=")</f>
        <v>#VALUE!</v>
      </c>
      <c r="DP16" t="e">
        <f>AND(Sheet1!F120,"AAAAAFV8vnc=")</f>
        <v>#VALUE!</v>
      </c>
      <c r="DQ16" t="e">
        <f>AND(Sheet1!F121,"AAAAAFV8vng=")</f>
        <v>#VALUE!</v>
      </c>
      <c r="DR16" t="e">
        <f>AND(Sheet1!F122,"AAAAAFV8vnk=")</f>
        <v>#VALUE!</v>
      </c>
      <c r="DS16" t="e">
        <f>AND(Sheet1!F123,"AAAAAFV8vno=")</f>
        <v>#VALUE!</v>
      </c>
      <c r="DT16" t="e">
        <f>AND(Sheet1!F124,"AAAAAFV8vns=")</f>
        <v>#VALUE!</v>
      </c>
      <c r="DU16" t="e">
        <f>AND(Sheet1!F125,"AAAAAFV8vnw=")</f>
        <v>#VALUE!</v>
      </c>
      <c r="DV16" t="e">
        <f>AND(Sheet1!F126,"AAAAAFV8vn0=")</f>
        <v>#VALUE!</v>
      </c>
      <c r="DW16" t="e">
        <f>AND(Sheet1!F127,"AAAAAFV8vn4=")</f>
        <v>#VALUE!</v>
      </c>
      <c r="DX16" t="e">
        <f>AND(Sheet1!F128,"AAAAAFV8vn8=")</f>
        <v>#VALUE!</v>
      </c>
      <c r="DY16" t="e">
        <f>AND(Sheet1!F129,"AAAAAFV8voA=")</f>
        <v>#VALUE!</v>
      </c>
      <c r="DZ16" t="e">
        <f>AND(Sheet1!F130,"AAAAAFV8voE=")</f>
        <v>#VALUE!</v>
      </c>
      <c r="EA16" t="e">
        <f>AND(Sheet1!F131,"AAAAAFV8voI=")</f>
        <v>#VALUE!</v>
      </c>
      <c r="EB16" t="e">
        <f>AND(Sheet1!F132,"AAAAAFV8voM=")</f>
        <v>#VALUE!</v>
      </c>
      <c r="EC16" t="e">
        <f>AND(Sheet1!F133,"AAAAAFV8voQ=")</f>
        <v>#VALUE!</v>
      </c>
      <c r="ED16" t="e">
        <f>AND(Sheet1!F134,"AAAAAFV8voU=")</f>
        <v>#VALUE!</v>
      </c>
      <c r="EE16" t="e">
        <f>AND(Sheet1!F135,"AAAAAFV8voY=")</f>
        <v>#VALUE!</v>
      </c>
      <c r="EF16" t="e">
        <f>AND(Sheet1!F136,"AAAAAFV8voc=")</f>
        <v>#VALUE!</v>
      </c>
      <c r="EG16" t="e">
        <f>AND(Sheet1!F137,"AAAAAFV8vog=")</f>
        <v>#VALUE!</v>
      </c>
      <c r="EH16" t="e">
        <f>AND(Sheet1!F138,"AAAAAFV8vok=")</f>
        <v>#VALUE!</v>
      </c>
      <c r="EI16" t="e">
        <f>AND(Sheet1!F139,"AAAAAFV8voo=")</f>
        <v>#VALUE!</v>
      </c>
      <c r="EJ16" t="e">
        <f>AND(Sheet1!F140,"AAAAAFV8vos=")</f>
        <v>#VALUE!</v>
      </c>
      <c r="EK16" t="e">
        <f>AND(Sheet1!F141,"AAAAAFV8vow=")</f>
        <v>#VALUE!</v>
      </c>
      <c r="EL16" t="e">
        <f>AND(Sheet1!F142,"AAAAAFV8vo0=")</f>
        <v>#VALUE!</v>
      </c>
      <c r="EM16" t="e">
        <f>AND(Sheet1!F143,"AAAAAFV8vo4=")</f>
        <v>#VALUE!</v>
      </c>
      <c r="EN16" t="e">
        <f>AND(Sheet1!F144,"AAAAAFV8vo8=")</f>
        <v>#VALUE!</v>
      </c>
      <c r="EO16" t="e">
        <f>AND(Sheet1!F145,"AAAAAFV8vpA=")</f>
        <v>#VALUE!</v>
      </c>
      <c r="EP16" t="e">
        <f>AND(Sheet1!F146,"AAAAAFV8vpE=")</f>
        <v>#VALUE!</v>
      </c>
      <c r="EQ16" t="e">
        <f>AND(Sheet1!F147,"AAAAAFV8vpI=")</f>
        <v>#VALUE!</v>
      </c>
      <c r="ER16" t="e">
        <f>AND(Sheet1!F148,"AAAAAFV8vpM=")</f>
        <v>#VALUE!</v>
      </c>
      <c r="ES16" t="e">
        <f>AND(Sheet1!F149,"AAAAAFV8vpQ=")</f>
        <v>#VALUE!</v>
      </c>
      <c r="ET16" t="e">
        <f>AND(Sheet1!F150,"AAAAAFV8vpU=")</f>
        <v>#VALUE!</v>
      </c>
      <c r="EU16" t="e">
        <f>AND(Sheet1!F151,"AAAAAFV8vpY=")</f>
        <v>#VALUE!</v>
      </c>
      <c r="EV16" t="e">
        <f>AND(Sheet1!F152,"AAAAAFV8vpc=")</f>
        <v>#VALUE!</v>
      </c>
      <c r="EW16" t="e">
        <f>AND(Sheet1!F153,"AAAAAFV8vpg=")</f>
        <v>#VALUE!</v>
      </c>
      <c r="EX16" t="e">
        <f>AND(Sheet1!F154,"AAAAAFV8vpk=")</f>
        <v>#VALUE!</v>
      </c>
      <c r="EY16" t="e">
        <f>AND(Sheet1!F155,"AAAAAFV8vpo=")</f>
        <v>#VALUE!</v>
      </c>
      <c r="EZ16" t="e">
        <f>AND(Sheet1!F156,"AAAAAFV8vps=")</f>
        <v>#VALUE!</v>
      </c>
      <c r="FA16" t="e">
        <f>AND(Sheet1!F157,"AAAAAFV8vpw=")</f>
        <v>#VALUE!</v>
      </c>
      <c r="FB16" t="e">
        <f>AND(Sheet1!F158,"AAAAAFV8vp0=")</f>
        <v>#VALUE!</v>
      </c>
      <c r="FC16" t="e">
        <f>AND(Sheet1!F159,"AAAAAFV8vp4=")</f>
        <v>#VALUE!</v>
      </c>
      <c r="FD16" t="e">
        <f>AND(Sheet1!F160,"AAAAAFV8vp8=")</f>
        <v>#VALUE!</v>
      </c>
      <c r="FE16" t="e">
        <f>AND(Sheet1!F161,"AAAAAFV8vqA=")</f>
        <v>#VALUE!</v>
      </c>
      <c r="FF16" t="e">
        <f>AND(Sheet1!F162,"AAAAAFV8vqE=")</f>
        <v>#VALUE!</v>
      </c>
      <c r="FG16" t="e">
        <f>AND(Sheet1!F163,"AAAAAFV8vqI=")</f>
        <v>#VALUE!</v>
      </c>
      <c r="FH16" t="e">
        <f>AND(Sheet1!F164,"AAAAAFV8vqM=")</f>
        <v>#VALUE!</v>
      </c>
      <c r="FI16" t="e">
        <f>AND(Sheet1!F165,"AAAAAFV8vqQ=")</f>
        <v>#VALUE!</v>
      </c>
      <c r="FJ16" t="e">
        <f>AND(Sheet1!F166,"AAAAAFV8vqU=")</f>
        <v>#VALUE!</v>
      </c>
      <c r="FK16" t="e">
        <f>AND(Sheet1!F167,"AAAAAFV8vqY=")</f>
        <v>#VALUE!</v>
      </c>
      <c r="FL16" t="e">
        <f>AND(Sheet1!F168,"AAAAAFV8vqc=")</f>
        <v>#VALUE!</v>
      </c>
      <c r="FM16" t="e">
        <f>AND(Sheet1!F169,"AAAAAFV8vqg=")</f>
        <v>#VALUE!</v>
      </c>
      <c r="FN16" t="e">
        <f>AND(Sheet1!F170,"AAAAAFV8vqk=")</f>
        <v>#VALUE!</v>
      </c>
      <c r="FO16" t="e">
        <f>AND(Sheet1!F171,"AAAAAFV8vqo=")</f>
        <v>#VALUE!</v>
      </c>
      <c r="FP16" t="e">
        <f>AND(Sheet1!F172,"AAAAAFV8vqs=")</f>
        <v>#VALUE!</v>
      </c>
      <c r="FQ16" t="e">
        <f>AND(Sheet1!F173,"AAAAAFV8vqw=")</f>
        <v>#VALUE!</v>
      </c>
      <c r="FR16" t="e">
        <f>AND(Sheet1!F174,"AAAAAFV8vq0=")</f>
        <v>#VALUE!</v>
      </c>
      <c r="FS16" t="e">
        <f>AND(Sheet1!F175,"AAAAAFV8vq4=")</f>
        <v>#VALUE!</v>
      </c>
      <c r="FT16" t="e">
        <f>AND(Sheet1!F176,"AAAAAFV8vq8=")</f>
        <v>#VALUE!</v>
      </c>
      <c r="FU16" t="e">
        <f>AND(Sheet1!F177,"AAAAAFV8vrA=")</f>
        <v>#VALUE!</v>
      </c>
      <c r="FV16" t="e">
        <f>AND(Sheet1!F178,"AAAAAFV8vrE=")</f>
        <v>#VALUE!</v>
      </c>
      <c r="FW16" t="e">
        <f>AND(Sheet1!F179,"AAAAAFV8vrI=")</f>
        <v>#VALUE!</v>
      </c>
      <c r="FX16" t="e">
        <f>AND(Sheet1!F180,"AAAAAFV8vrM=")</f>
        <v>#VALUE!</v>
      </c>
      <c r="FY16" t="e">
        <f>AND(Sheet1!F181,"AAAAAFV8vrQ=")</f>
        <v>#VALUE!</v>
      </c>
      <c r="FZ16" t="e">
        <f>AND(Sheet1!F182,"AAAAAFV8vrU=")</f>
        <v>#VALUE!</v>
      </c>
      <c r="GA16" t="e">
        <f>AND(Sheet1!F183,"AAAAAFV8vrY=")</f>
        <v>#VALUE!</v>
      </c>
      <c r="GB16" t="e">
        <f>AND(Sheet1!F184,"AAAAAFV8vrc=")</f>
        <v>#VALUE!</v>
      </c>
      <c r="GC16" t="e">
        <f>AND(Sheet1!F185,"AAAAAFV8vrg=")</f>
        <v>#VALUE!</v>
      </c>
      <c r="GD16" t="e">
        <f>AND(Sheet1!F186,"AAAAAFV8vrk=")</f>
        <v>#VALUE!</v>
      </c>
      <c r="GE16" t="e">
        <f>AND(Sheet1!F187,"AAAAAFV8vro=")</f>
        <v>#VALUE!</v>
      </c>
      <c r="GF16" t="e">
        <f>AND(Sheet1!F188,"AAAAAFV8vrs=")</f>
        <v>#VALUE!</v>
      </c>
      <c r="GG16" t="e">
        <f>AND(Sheet1!F189,"AAAAAFV8vrw=")</f>
        <v>#VALUE!</v>
      </c>
      <c r="GH16" t="e">
        <f>AND(Sheet1!F190,"AAAAAFV8vr0=")</f>
        <v>#VALUE!</v>
      </c>
      <c r="GI16" t="e">
        <f>AND(Sheet1!F191,"AAAAAFV8vr4=")</f>
        <v>#VALUE!</v>
      </c>
      <c r="GJ16" t="e">
        <f>AND(Sheet1!F192,"AAAAAFV8vr8=")</f>
        <v>#VALUE!</v>
      </c>
      <c r="GK16" t="e">
        <f>AND(Sheet1!F193,"AAAAAFV8vsA=")</f>
        <v>#VALUE!</v>
      </c>
      <c r="GL16">
        <f>IF(Sheet1!F:F,"AAAAAFV8vsE=",0)</f>
        <v>0</v>
      </c>
    </row>
    <row r="17" ht="15">
      <c r="A17" t="e">
        <f>AND(Sheet1!C27,"AAAAAD9/bwA=")</f>
        <v>#VALUE!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Cardoso</dc:creator>
  <cp:keywords/>
  <dc:description/>
  <cp:lastModifiedBy>André Cardoso</cp:lastModifiedBy>
  <dcterms:created xsi:type="dcterms:W3CDTF">2012-07-09T15:10:06Z</dcterms:created>
  <dcterms:modified xsi:type="dcterms:W3CDTF">2012-08-17T16:49:36Z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1FVorGSXTIhYnp6-FbI3qf0Si0lRjv6HUFq8BpS5PEJk</vt:lpwstr>
  </property>
  <property fmtid="{D5CDD505-2E9C-101B-9397-08002B2CF9AE}" pid="4" name="Google.Documents.RevisionId">
    <vt:lpwstr>02395511342111530235</vt:lpwstr>
  </property>
  <property fmtid="{D5CDD505-2E9C-101B-9397-08002B2CF9AE}" pid="5" name="Google.Documents.PreviousRevisionId">
    <vt:lpwstr>10823929650389679346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